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总表" sheetId="5" r:id="rId1"/>
  </sheets>
  <definedNames>
    <definedName name="_xlnm._FilterDatabase" localSheetId="0" hidden="1">总表!$B$2:$D$96</definedName>
    <definedName name="_xlnm.Print_Titles" localSheetId="0">总表!$2:$2</definedName>
  </definedNames>
  <calcPr calcId="144525"/>
</workbook>
</file>

<file path=xl/calcChain.xml><?xml version="1.0" encoding="utf-8"?>
<calcChain xmlns="http://schemas.openxmlformats.org/spreadsheetml/2006/main">
  <c r="I96" i="5"/>
  <c r="H96"/>
  <c r="F96"/>
  <c r="B96"/>
  <c r="I95"/>
  <c r="H95"/>
  <c r="F95"/>
  <c r="B95"/>
  <c r="I94"/>
  <c r="H94"/>
  <c r="F94"/>
  <c r="B94"/>
  <c r="I93"/>
  <c r="H93"/>
  <c r="F93"/>
  <c r="B93"/>
  <c r="I92"/>
  <c r="H92"/>
  <c r="F92"/>
  <c r="B92"/>
  <c r="I91"/>
  <c r="H91"/>
  <c r="F91"/>
  <c r="B91"/>
  <c r="I90"/>
  <c r="H90"/>
  <c r="F90"/>
  <c r="B90"/>
  <c r="I89"/>
  <c r="H89"/>
  <c r="F89"/>
  <c r="B89"/>
  <c r="I88"/>
  <c r="H88"/>
  <c r="F88"/>
  <c r="B88"/>
  <c r="I87"/>
  <c r="H87"/>
  <c r="F87"/>
  <c r="B87"/>
  <c r="I86"/>
  <c r="H86"/>
  <c r="F86"/>
  <c r="B86"/>
  <c r="I85"/>
  <c r="H85"/>
  <c r="F85"/>
  <c r="B85"/>
  <c r="I84"/>
  <c r="H84"/>
  <c r="F84"/>
  <c r="B84"/>
  <c r="I83"/>
  <c r="H83"/>
  <c r="F83"/>
  <c r="B83"/>
  <c r="I82"/>
  <c r="H82"/>
  <c r="F82"/>
  <c r="B82"/>
  <c r="I81"/>
  <c r="H81"/>
  <c r="F81"/>
  <c r="B81"/>
  <c r="I80"/>
  <c r="H80"/>
  <c r="F80"/>
  <c r="B80"/>
  <c r="I79"/>
  <c r="H79"/>
  <c r="F79"/>
  <c r="B79"/>
  <c r="I78"/>
  <c r="H78"/>
  <c r="F78"/>
  <c r="B78"/>
  <c r="I77"/>
  <c r="H77"/>
  <c r="F77"/>
  <c r="B77"/>
  <c r="I76"/>
  <c r="H76"/>
  <c r="F76"/>
  <c r="B76"/>
  <c r="I75"/>
  <c r="H75"/>
  <c r="F75"/>
  <c r="B75"/>
  <c r="I74"/>
  <c r="H74"/>
  <c r="F74"/>
  <c r="B74"/>
  <c r="I73"/>
  <c r="H73"/>
  <c r="F73"/>
  <c r="B73"/>
  <c r="I72"/>
  <c r="H72"/>
  <c r="F72"/>
  <c r="B72"/>
  <c r="I71"/>
  <c r="H71"/>
  <c r="F71"/>
  <c r="B71"/>
  <c r="I70"/>
  <c r="H70"/>
  <c r="F70"/>
  <c r="B70"/>
  <c r="I69"/>
  <c r="H69"/>
  <c r="F69"/>
  <c r="B69"/>
  <c r="I68"/>
  <c r="H68"/>
  <c r="F68"/>
  <c r="B68"/>
  <c r="I67"/>
  <c r="H67"/>
  <c r="F67"/>
  <c r="B67"/>
  <c r="I66"/>
  <c r="H66"/>
  <c r="F66"/>
  <c r="B66"/>
  <c r="I65"/>
  <c r="H65"/>
  <c r="F65"/>
  <c r="B65"/>
  <c r="I64"/>
  <c r="H64"/>
  <c r="F64"/>
  <c r="B64"/>
  <c r="I63"/>
  <c r="H63"/>
  <c r="F63"/>
  <c r="B63"/>
  <c r="I62"/>
  <c r="H62"/>
  <c r="F62"/>
  <c r="B62"/>
  <c r="I61"/>
  <c r="H61"/>
  <c r="F61"/>
  <c r="B61"/>
  <c r="I60"/>
  <c r="H60"/>
  <c r="F60"/>
  <c r="B60"/>
  <c r="I59"/>
  <c r="H59"/>
  <c r="F59"/>
  <c r="B59"/>
  <c r="I58"/>
  <c r="H58"/>
  <c r="F58"/>
  <c r="B58"/>
  <c r="I57"/>
  <c r="H57"/>
  <c r="F57"/>
  <c r="B57"/>
  <c r="I56"/>
  <c r="H56"/>
  <c r="F56"/>
  <c r="B56"/>
  <c r="I55"/>
  <c r="H55"/>
  <c r="F55"/>
  <c r="B55"/>
  <c r="I54"/>
  <c r="H54"/>
  <c r="F54"/>
  <c r="B54"/>
  <c r="I53"/>
  <c r="H53"/>
  <c r="F53"/>
  <c r="B53"/>
  <c r="I52"/>
  <c r="H52"/>
  <c r="F52"/>
  <c r="B52"/>
  <c r="I51"/>
  <c r="H51"/>
  <c r="F51"/>
  <c r="B51"/>
  <c r="I50"/>
  <c r="H50"/>
  <c r="F50"/>
  <c r="B50"/>
  <c r="I49"/>
  <c r="H49"/>
  <c r="F49"/>
  <c r="B49"/>
  <c r="I48"/>
  <c r="H48"/>
  <c r="F48"/>
  <c r="B48"/>
  <c r="I47"/>
  <c r="H47"/>
  <c r="F47"/>
  <c r="B47"/>
  <c r="I46"/>
  <c r="H46"/>
  <c r="F46"/>
  <c r="B46"/>
  <c r="I45"/>
  <c r="H45"/>
  <c r="F45"/>
  <c r="B45"/>
  <c r="I44"/>
  <c r="H44"/>
  <c r="F44"/>
  <c r="B44"/>
  <c r="I43"/>
  <c r="H43"/>
  <c r="F43"/>
  <c r="B43"/>
  <c r="I42"/>
  <c r="H42"/>
  <c r="F42"/>
  <c r="B42"/>
  <c r="I41"/>
  <c r="H41"/>
  <c r="F41"/>
  <c r="B41"/>
  <c r="I40"/>
  <c r="H40"/>
  <c r="F40"/>
  <c r="B40"/>
  <c r="I39"/>
  <c r="H39"/>
  <c r="F39"/>
  <c r="B39"/>
  <c r="I38"/>
  <c r="H38"/>
  <c r="F38"/>
  <c r="B38"/>
  <c r="I37"/>
  <c r="H37"/>
  <c r="F37"/>
  <c r="B37"/>
  <c r="I36"/>
  <c r="H36"/>
  <c r="F36"/>
  <c r="B36"/>
  <c r="I35"/>
  <c r="H35"/>
  <c r="F35"/>
  <c r="B35"/>
  <c r="I34"/>
  <c r="H34"/>
  <c r="F34"/>
  <c r="B34"/>
  <c r="I33"/>
  <c r="H33"/>
  <c r="F33"/>
  <c r="B33"/>
  <c r="I32"/>
  <c r="H32"/>
  <c r="F32"/>
  <c r="B32"/>
  <c r="I31"/>
  <c r="H31"/>
  <c r="F31"/>
  <c r="B31"/>
  <c r="I30"/>
  <c r="H30"/>
  <c r="F30"/>
  <c r="B30"/>
  <c r="I29"/>
  <c r="H29"/>
  <c r="F29"/>
  <c r="B29"/>
  <c r="I28"/>
  <c r="H28"/>
  <c r="F28"/>
  <c r="B28"/>
  <c r="I27"/>
  <c r="H27"/>
  <c r="F27"/>
  <c r="B27"/>
  <c r="I26"/>
  <c r="H26"/>
  <c r="F26"/>
  <c r="B26"/>
  <c r="I25"/>
  <c r="H25"/>
  <c r="F25"/>
  <c r="B25"/>
  <c r="I24"/>
  <c r="H24"/>
  <c r="F24"/>
  <c r="B24"/>
  <c r="I23"/>
  <c r="H23"/>
  <c r="F23"/>
  <c r="B23"/>
  <c r="I22"/>
  <c r="H22"/>
  <c r="F22"/>
  <c r="B22"/>
  <c r="I21"/>
  <c r="H21"/>
  <c r="F21"/>
  <c r="B21"/>
  <c r="I20"/>
  <c r="H20"/>
  <c r="F20"/>
  <c r="B20"/>
  <c r="I19"/>
  <c r="H19"/>
  <c r="F19"/>
  <c r="B19"/>
  <c r="I18"/>
  <c r="H18"/>
  <c r="F18"/>
  <c r="B18"/>
  <c r="I17"/>
  <c r="H17"/>
  <c r="F17"/>
  <c r="B17"/>
  <c r="I16"/>
  <c r="H16"/>
  <c r="F16"/>
  <c r="B16"/>
  <c r="I15"/>
  <c r="H15"/>
  <c r="F15"/>
  <c r="B15"/>
  <c r="I14"/>
  <c r="H14"/>
  <c r="F14"/>
  <c r="B14"/>
  <c r="I13"/>
  <c r="H13"/>
  <c r="F13"/>
  <c r="B13"/>
  <c r="I12"/>
  <c r="H12"/>
  <c r="F12"/>
  <c r="B12"/>
  <c r="I11"/>
  <c r="H11"/>
  <c r="F11"/>
  <c r="B11"/>
  <c r="I10"/>
  <c r="H10"/>
  <c r="F10"/>
  <c r="B10"/>
  <c r="I9"/>
  <c r="H9"/>
  <c r="F9"/>
  <c r="B9"/>
  <c r="I8"/>
  <c r="H8"/>
  <c r="F8"/>
  <c r="B8"/>
  <c r="I7"/>
  <c r="H7"/>
  <c r="F7"/>
  <c r="B7"/>
  <c r="I6"/>
  <c r="H6"/>
  <c r="F6"/>
  <c r="B6"/>
  <c r="I5"/>
  <c r="H5"/>
  <c r="F5"/>
  <c r="B5"/>
  <c r="I4"/>
  <c r="H4"/>
  <c r="F4"/>
  <c r="B4"/>
  <c r="I3"/>
  <c r="H3"/>
  <c r="F3"/>
  <c r="B3"/>
</calcChain>
</file>

<file path=xl/sharedStrings.xml><?xml version="1.0" encoding="utf-8"?>
<sst xmlns="http://schemas.openxmlformats.org/spreadsheetml/2006/main" count="202" uniqueCount="116">
  <si>
    <t>序号</t>
  </si>
  <si>
    <t>姓名</t>
  </si>
  <si>
    <t>准考证号</t>
  </si>
  <si>
    <t>报考岗位</t>
  </si>
  <si>
    <t>笔试
成绩</t>
  </si>
  <si>
    <t>笔试60%</t>
  </si>
  <si>
    <t>面试成绩</t>
  </si>
  <si>
    <t>面试40%</t>
  </si>
  <si>
    <t>综合成绩</t>
  </si>
  <si>
    <t>职位
排名</t>
  </si>
  <si>
    <t>备注</t>
  </si>
  <si>
    <t>1001_ICU医师</t>
  </si>
  <si>
    <t>1002_呼吸内科医师</t>
  </si>
  <si>
    <t>1003_感染科医师</t>
  </si>
  <si>
    <t>1004_儿科医师</t>
  </si>
  <si>
    <t>1005_心胸外科医师</t>
  </si>
  <si>
    <t>缺考</t>
  </si>
  <si>
    <t>1006_心血管内科医师</t>
  </si>
  <si>
    <t>1008_护理2</t>
  </si>
  <si>
    <t>1009_护理3</t>
  </si>
  <si>
    <t>1010_护理4</t>
  </si>
  <si>
    <t>琼海市疫情防控期间紧急招聘医疗卫生专业技术人员
综合成绩表</t>
  </si>
  <si>
    <t>2020205310101</t>
  </si>
  <si>
    <t>2020205310103</t>
  </si>
  <si>
    <t>2020205310104</t>
  </si>
  <si>
    <t>2020205310110</t>
  </si>
  <si>
    <t>2020205310111</t>
  </si>
  <si>
    <t>2020205310112</t>
  </si>
  <si>
    <t>2020205310114</t>
  </si>
  <si>
    <t>2020205310115</t>
  </si>
  <si>
    <t>2020205310119</t>
  </si>
  <si>
    <t>2020205310122</t>
  </si>
  <si>
    <t>2020205310201</t>
  </si>
  <si>
    <t>2020205310202</t>
  </si>
  <si>
    <t>2020205310205</t>
  </si>
  <si>
    <t>2020205310207</t>
  </si>
  <si>
    <t>2020205310209</t>
  </si>
  <si>
    <t>2020205310212</t>
  </si>
  <si>
    <t>2020205310213</t>
  </si>
  <si>
    <t>2020205310215</t>
  </si>
  <si>
    <t>2020205310217</t>
  </si>
  <si>
    <t>2020205310302</t>
  </si>
  <si>
    <t>2020205310303</t>
  </si>
  <si>
    <t>2020205310305</t>
  </si>
  <si>
    <t>2020205310308</t>
  </si>
  <si>
    <t>2020205310309</t>
  </si>
  <si>
    <t>2020205310310</t>
  </si>
  <si>
    <t>2020205310320</t>
  </si>
  <si>
    <t>2020205310322</t>
  </si>
  <si>
    <t>2020205310408</t>
  </si>
  <si>
    <t>2020205310409</t>
  </si>
  <si>
    <t>2020205310413</t>
  </si>
  <si>
    <t>2020205310414</t>
  </si>
  <si>
    <t>2020205310415</t>
  </si>
  <si>
    <t>2020205310416</t>
  </si>
  <si>
    <t>2020205310417</t>
  </si>
  <si>
    <t>2020205310418</t>
  </si>
  <si>
    <t>2020205310419</t>
  </si>
  <si>
    <t>2020205310421</t>
  </si>
  <si>
    <t>2020205310422</t>
  </si>
  <si>
    <t>2020205310423</t>
  </si>
  <si>
    <t>2020205310424</t>
  </si>
  <si>
    <t>2020205310425</t>
  </si>
  <si>
    <t>2020205310504</t>
  </si>
  <si>
    <t>2020205310505</t>
  </si>
  <si>
    <t>2020205310506</t>
  </si>
  <si>
    <t>2020205310507</t>
  </si>
  <si>
    <t>2020205310508</t>
  </si>
  <si>
    <t>2020205310509</t>
  </si>
  <si>
    <t>2020205310510</t>
  </si>
  <si>
    <t>2020205310511</t>
  </si>
  <si>
    <t>2020205310512</t>
  </si>
  <si>
    <t>2020205310513</t>
  </si>
  <si>
    <t>2020205310514</t>
  </si>
  <si>
    <t>2020205310515</t>
  </si>
  <si>
    <t>2020205310517</t>
  </si>
  <si>
    <t>2020205310518</t>
  </si>
  <si>
    <t>2020205310519</t>
  </si>
  <si>
    <t>2020205310520</t>
  </si>
  <si>
    <t>2020205310525</t>
  </si>
  <si>
    <t>2020205310601</t>
  </si>
  <si>
    <t>2020205310602</t>
  </si>
  <si>
    <t>2020205310603</t>
  </si>
  <si>
    <t>2020205310605</t>
  </si>
  <si>
    <t>2020205310606</t>
  </si>
  <si>
    <t>2020205310611</t>
  </si>
  <si>
    <t>2020205310613</t>
  </si>
  <si>
    <t>2020205310614</t>
  </si>
  <si>
    <t>2020205310615</t>
  </si>
  <si>
    <t>2020205310620</t>
  </si>
  <si>
    <t>2020205310704</t>
  </si>
  <si>
    <t>2020205310705</t>
  </si>
  <si>
    <t>2020205310706</t>
  </si>
  <si>
    <t>2020205310707</t>
  </si>
  <si>
    <t>2020205310708</t>
  </si>
  <si>
    <t>2020205310709</t>
  </si>
  <si>
    <t>2020205310710</t>
  </si>
  <si>
    <t>2020205310713</t>
  </si>
  <si>
    <t>2020205310714</t>
  </si>
  <si>
    <t>2020205310715</t>
  </si>
  <si>
    <t>2020205310716</t>
  </si>
  <si>
    <t>2020205310717</t>
  </si>
  <si>
    <t>2020205310719</t>
  </si>
  <si>
    <t>2020205310720</t>
  </si>
  <si>
    <t>2020205310721</t>
  </si>
  <si>
    <t>2020205310724</t>
  </si>
  <si>
    <t>2020205310725</t>
  </si>
  <si>
    <t>2020205310801</t>
  </si>
  <si>
    <t>2020205310802</t>
  </si>
  <si>
    <t>2020205310804</t>
  </si>
  <si>
    <t>2020205310805</t>
  </si>
  <si>
    <t>2020205310809</t>
  </si>
  <si>
    <t>2020205310811</t>
  </si>
  <si>
    <t>2020205310818</t>
  </si>
  <si>
    <t>2020205310821</t>
  </si>
  <si>
    <t>2020205310822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</si>
</sst>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_ "/>
  </numFmts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topLeftCell="A91" workbookViewId="0">
      <selection activeCell="K102" sqref="K102"/>
    </sheetView>
  </sheetViews>
  <sheetFormatPr defaultColWidth="9" defaultRowHeight="13.5"/>
  <cols>
    <col min="1" max="1" width="4" customWidth="1"/>
    <col min="3" max="3" width="14.875" customWidth="1"/>
    <col min="4" max="4" width="20.625" customWidth="1"/>
    <col min="5" max="5" width="5.125" style="4" customWidth="1"/>
    <col min="6" max="6" width="7" style="5" customWidth="1"/>
    <col min="7" max="7" width="7.25" style="5" customWidth="1"/>
    <col min="8" max="8" width="7.375" style="5" customWidth="1"/>
    <col min="9" max="9" width="7.5" style="5" customWidth="1"/>
    <col min="10" max="10" width="5.875" style="4" customWidth="1"/>
    <col min="11" max="11" width="6.125" style="6" customWidth="1"/>
  </cols>
  <sheetData>
    <row r="1" spans="1:11" ht="48" customHeight="1">
      <c r="A1" s="18" t="s">
        <v>21</v>
      </c>
      <c r="B1" s="19"/>
      <c r="C1" s="19"/>
      <c r="D1" s="19"/>
      <c r="E1" s="20"/>
      <c r="F1" s="21"/>
      <c r="G1" s="21"/>
      <c r="H1" s="21"/>
      <c r="I1" s="21"/>
      <c r="J1" s="20"/>
      <c r="K1" s="19"/>
    </row>
    <row r="2" spans="1:11" s="1" customFormat="1" ht="48" customHeight="1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8" t="s">
        <v>9</v>
      </c>
      <c r="K2" s="7" t="s">
        <v>10</v>
      </c>
    </row>
    <row r="3" spans="1:11" s="2" customFormat="1" ht="36" customHeight="1">
      <c r="A3" s="10">
        <v>1</v>
      </c>
      <c r="B3" s="11" t="str">
        <f>"肖钦通"</f>
        <v>肖钦通</v>
      </c>
      <c r="C3" s="10" t="s">
        <v>22</v>
      </c>
      <c r="D3" s="11" t="s">
        <v>11</v>
      </c>
      <c r="E3" s="12">
        <v>58</v>
      </c>
      <c r="F3" s="13">
        <f t="shared" ref="F3:F34" si="0">E3*0.6</f>
        <v>34.799999999999997</v>
      </c>
      <c r="G3" s="13">
        <v>76.2</v>
      </c>
      <c r="H3" s="13">
        <f t="shared" ref="H3:H34" si="1">G3*0.4</f>
        <v>30.48</v>
      </c>
      <c r="I3" s="13">
        <f t="shared" ref="I3:I34" si="2">F3+H3</f>
        <v>65.28</v>
      </c>
      <c r="J3" s="12">
        <v>2</v>
      </c>
      <c r="K3" s="10"/>
    </row>
    <row r="4" spans="1:11" s="2" customFormat="1" ht="36" customHeight="1">
      <c r="A4" s="10">
        <v>2</v>
      </c>
      <c r="B4" s="11" t="str">
        <f>"吴挺波"</f>
        <v>吴挺波</v>
      </c>
      <c r="C4" s="10" t="s">
        <v>23</v>
      </c>
      <c r="D4" s="11" t="s">
        <v>11</v>
      </c>
      <c r="E4" s="12">
        <v>54</v>
      </c>
      <c r="F4" s="13">
        <f t="shared" si="0"/>
        <v>32.4</v>
      </c>
      <c r="G4" s="13">
        <v>69.73</v>
      </c>
      <c r="H4" s="13">
        <f t="shared" si="1"/>
        <v>27.891999999999999</v>
      </c>
      <c r="I4" s="13">
        <f t="shared" si="2"/>
        <v>60.292000000000002</v>
      </c>
      <c r="J4" s="12">
        <v>3</v>
      </c>
      <c r="K4" s="10"/>
    </row>
    <row r="5" spans="1:11" s="2" customFormat="1" ht="36" customHeight="1">
      <c r="A5" s="10">
        <v>3</v>
      </c>
      <c r="B5" s="11" t="str">
        <f>"王思媛"</f>
        <v>王思媛</v>
      </c>
      <c r="C5" s="10" t="s">
        <v>24</v>
      </c>
      <c r="D5" s="11" t="s">
        <v>11</v>
      </c>
      <c r="E5" s="12">
        <v>62</v>
      </c>
      <c r="F5" s="13">
        <f t="shared" si="0"/>
        <v>37.200000000000003</v>
      </c>
      <c r="G5" s="13">
        <v>75.7</v>
      </c>
      <c r="H5" s="13">
        <f t="shared" si="1"/>
        <v>30.28</v>
      </c>
      <c r="I5" s="13">
        <f t="shared" si="2"/>
        <v>67.48</v>
      </c>
      <c r="J5" s="12">
        <v>1</v>
      </c>
      <c r="K5" s="10"/>
    </row>
    <row r="6" spans="1:11" s="2" customFormat="1" ht="36" customHeight="1">
      <c r="A6" s="10">
        <v>4</v>
      </c>
      <c r="B6" s="11" t="str">
        <f>"李达仕"</f>
        <v>李达仕</v>
      </c>
      <c r="C6" s="10" t="s">
        <v>25</v>
      </c>
      <c r="D6" s="11" t="s">
        <v>12</v>
      </c>
      <c r="E6" s="12">
        <v>59</v>
      </c>
      <c r="F6" s="13">
        <f t="shared" si="0"/>
        <v>35.4</v>
      </c>
      <c r="G6" s="13">
        <v>63.7</v>
      </c>
      <c r="H6" s="13">
        <f t="shared" si="1"/>
        <v>25.48</v>
      </c>
      <c r="I6" s="13">
        <f t="shared" si="2"/>
        <v>60.88</v>
      </c>
      <c r="J6" s="12">
        <v>2</v>
      </c>
      <c r="K6" s="10"/>
    </row>
    <row r="7" spans="1:11" s="2" customFormat="1" ht="36" customHeight="1">
      <c r="A7" s="10">
        <v>5</v>
      </c>
      <c r="B7" s="11" t="str">
        <f>"玉莹"</f>
        <v>玉莹</v>
      </c>
      <c r="C7" s="10" t="s">
        <v>26</v>
      </c>
      <c r="D7" s="11" t="s">
        <v>12</v>
      </c>
      <c r="E7" s="12">
        <v>57</v>
      </c>
      <c r="F7" s="13">
        <f t="shared" si="0"/>
        <v>34.200000000000003</v>
      </c>
      <c r="G7" s="13">
        <v>77.5</v>
      </c>
      <c r="H7" s="13">
        <f t="shared" si="1"/>
        <v>31</v>
      </c>
      <c r="I7" s="13">
        <f t="shared" si="2"/>
        <v>65.2</v>
      </c>
      <c r="J7" s="12">
        <v>1</v>
      </c>
      <c r="K7" s="10"/>
    </row>
    <row r="8" spans="1:11" s="3" customFormat="1" ht="36" customHeight="1">
      <c r="A8" s="10">
        <v>6</v>
      </c>
      <c r="B8" s="14" t="str">
        <f>"陈芳仔"</f>
        <v>陈芳仔</v>
      </c>
      <c r="C8" s="10" t="s">
        <v>27</v>
      </c>
      <c r="D8" s="14" t="s">
        <v>13</v>
      </c>
      <c r="E8" s="15">
        <v>57</v>
      </c>
      <c r="F8" s="13">
        <f t="shared" si="0"/>
        <v>34.200000000000003</v>
      </c>
      <c r="G8" s="16">
        <v>61.2</v>
      </c>
      <c r="H8" s="13">
        <f t="shared" si="1"/>
        <v>24.48</v>
      </c>
      <c r="I8" s="13">
        <f t="shared" si="2"/>
        <v>58.68</v>
      </c>
      <c r="J8" s="15">
        <v>3</v>
      </c>
      <c r="K8" s="17"/>
    </row>
    <row r="9" spans="1:11" s="2" customFormat="1" ht="36" customHeight="1">
      <c r="A9" s="10">
        <v>7</v>
      </c>
      <c r="B9" s="11" t="str">
        <f>"符广"</f>
        <v>符广</v>
      </c>
      <c r="C9" s="10" t="s">
        <v>28</v>
      </c>
      <c r="D9" s="11" t="s">
        <v>13</v>
      </c>
      <c r="E9" s="12">
        <v>57</v>
      </c>
      <c r="F9" s="13">
        <f t="shared" si="0"/>
        <v>34.200000000000003</v>
      </c>
      <c r="G9" s="13">
        <v>66.83</v>
      </c>
      <c r="H9" s="13">
        <f t="shared" si="1"/>
        <v>26.731999999999999</v>
      </c>
      <c r="I9" s="13">
        <f t="shared" si="2"/>
        <v>60.932000000000002</v>
      </c>
      <c r="J9" s="12">
        <v>1</v>
      </c>
      <c r="K9" s="10"/>
    </row>
    <row r="10" spans="1:11" s="2" customFormat="1" ht="36" customHeight="1">
      <c r="A10" s="10">
        <v>8</v>
      </c>
      <c r="B10" s="11" t="str">
        <f>"伍思辉"</f>
        <v>伍思辉</v>
      </c>
      <c r="C10" s="10" t="s">
        <v>29</v>
      </c>
      <c r="D10" s="11" t="s">
        <v>13</v>
      </c>
      <c r="E10" s="12">
        <v>55</v>
      </c>
      <c r="F10" s="13">
        <f t="shared" si="0"/>
        <v>33</v>
      </c>
      <c r="G10" s="13">
        <v>68.13</v>
      </c>
      <c r="H10" s="13">
        <f t="shared" si="1"/>
        <v>27.251999999999999</v>
      </c>
      <c r="I10" s="13">
        <f t="shared" si="2"/>
        <v>60.252000000000002</v>
      </c>
      <c r="J10" s="12">
        <v>2</v>
      </c>
      <c r="K10" s="10"/>
    </row>
    <row r="11" spans="1:11" s="2" customFormat="1" ht="36" customHeight="1">
      <c r="A11" s="10">
        <v>9</v>
      </c>
      <c r="B11" s="11" t="str">
        <f>"吴坤卫"</f>
        <v>吴坤卫</v>
      </c>
      <c r="C11" s="10" t="s">
        <v>30</v>
      </c>
      <c r="D11" s="11" t="s">
        <v>14</v>
      </c>
      <c r="E11" s="12">
        <v>55</v>
      </c>
      <c r="F11" s="13">
        <f t="shared" si="0"/>
        <v>33</v>
      </c>
      <c r="G11" s="13">
        <v>69.27</v>
      </c>
      <c r="H11" s="13">
        <f t="shared" si="1"/>
        <v>27.707999999999998</v>
      </c>
      <c r="I11" s="13">
        <f t="shared" si="2"/>
        <v>60.707999999999998</v>
      </c>
      <c r="J11" s="12">
        <v>2</v>
      </c>
      <c r="K11" s="10"/>
    </row>
    <row r="12" spans="1:11" s="2" customFormat="1" ht="36" customHeight="1">
      <c r="A12" s="10">
        <v>10</v>
      </c>
      <c r="B12" s="11" t="str">
        <f>"黄小伟"</f>
        <v>黄小伟</v>
      </c>
      <c r="C12" s="10" t="s">
        <v>31</v>
      </c>
      <c r="D12" s="11" t="s">
        <v>14</v>
      </c>
      <c r="E12" s="12">
        <v>55</v>
      </c>
      <c r="F12" s="13">
        <f t="shared" si="0"/>
        <v>33</v>
      </c>
      <c r="G12" s="13">
        <v>74.83</v>
      </c>
      <c r="H12" s="13">
        <f t="shared" si="1"/>
        <v>29.931999999999999</v>
      </c>
      <c r="I12" s="13">
        <f t="shared" si="2"/>
        <v>62.932000000000002</v>
      </c>
      <c r="J12" s="12">
        <v>1</v>
      </c>
      <c r="K12" s="10"/>
    </row>
    <row r="13" spans="1:11" s="2" customFormat="1" ht="36" customHeight="1">
      <c r="A13" s="10">
        <v>11</v>
      </c>
      <c r="B13" s="11" t="str">
        <f>"莫德波"</f>
        <v>莫德波</v>
      </c>
      <c r="C13" s="10" t="s">
        <v>32</v>
      </c>
      <c r="D13" s="11" t="s">
        <v>15</v>
      </c>
      <c r="E13" s="12">
        <v>57</v>
      </c>
      <c r="F13" s="13">
        <f t="shared" si="0"/>
        <v>34.200000000000003</v>
      </c>
      <c r="G13" s="13">
        <v>0</v>
      </c>
      <c r="H13" s="13">
        <f t="shared" si="1"/>
        <v>0</v>
      </c>
      <c r="I13" s="13">
        <f t="shared" si="2"/>
        <v>34.200000000000003</v>
      </c>
      <c r="J13" s="12">
        <v>3</v>
      </c>
      <c r="K13" s="13" t="s">
        <v>16</v>
      </c>
    </row>
    <row r="14" spans="1:11" s="2" customFormat="1" ht="36" customHeight="1">
      <c r="A14" s="10">
        <v>12</v>
      </c>
      <c r="B14" s="11" t="str">
        <f>"符大宜"</f>
        <v>符大宜</v>
      </c>
      <c r="C14" s="10" t="s">
        <v>33</v>
      </c>
      <c r="D14" s="11" t="s">
        <v>15</v>
      </c>
      <c r="E14" s="12">
        <v>56</v>
      </c>
      <c r="F14" s="13">
        <f t="shared" si="0"/>
        <v>33.6</v>
      </c>
      <c r="G14" s="13">
        <v>70.73</v>
      </c>
      <c r="H14" s="13">
        <f t="shared" si="1"/>
        <v>28.292000000000002</v>
      </c>
      <c r="I14" s="13">
        <f t="shared" si="2"/>
        <v>61.892000000000003</v>
      </c>
      <c r="J14" s="12">
        <v>2</v>
      </c>
      <c r="K14" s="10"/>
    </row>
    <row r="15" spans="1:11" s="2" customFormat="1" ht="36" customHeight="1">
      <c r="A15" s="10">
        <v>13</v>
      </c>
      <c r="B15" s="11" t="str">
        <f>"黄怡祖"</f>
        <v>黄怡祖</v>
      </c>
      <c r="C15" s="10" t="s">
        <v>34</v>
      </c>
      <c r="D15" s="11" t="s">
        <v>15</v>
      </c>
      <c r="E15" s="12">
        <v>61</v>
      </c>
      <c r="F15" s="13">
        <f t="shared" si="0"/>
        <v>36.6</v>
      </c>
      <c r="G15" s="13">
        <v>70.67</v>
      </c>
      <c r="H15" s="13">
        <f t="shared" si="1"/>
        <v>28.268000000000001</v>
      </c>
      <c r="I15" s="13">
        <f t="shared" si="2"/>
        <v>64.867999999999995</v>
      </c>
      <c r="J15" s="12">
        <v>1</v>
      </c>
      <c r="K15" s="10"/>
    </row>
    <row r="16" spans="1:11" s="2" customFormat="1" ht="36" customHeight="1">
      <c r="A16" s="10">
        <v>14</v>
      </c>
      <c r="B16" s="11" t="str">
        <f>"张泰胜"</f>
        <v>张泰胜</v>
      </c>
      <c r="C16" s="10" t="s">
        <v>35</v>
      </c>
      <c r="D16" s="11" t="s">
        <v>17</v>
      </c>
      <c r="E16" s="12">
        <v>65</v>
      </c>
      <c r="F16" s="13">
        <f t="shared" si="0"/>
        <v>39</v>
      </c>
      <c r="G16" s="13">
        <v>76.27</v>
      </c>
      <c r="H16" s="13">
        <f t="shared" si="1"/>
        <v>30.507999999999999</v>
      </c>
      <c r="I16" s="13">
        <f t="shared" si="2"/>
        <v>69.507999999999996</v>
      </c>
      <c r="J16" s="12">
        <v>1</v>
      </c>
      <c r="K16" s="10"/>
    </row>
    <row r="17" spans="1:11" s="2" customFormat="1" ht="36" customHeight="1">
      <c r="A17" s="10">
        <v>15</v>
      </c>
      <c r="B17" s="11" t="str">
        <f>"李美善"</f>
        <v>李美善</v>
      </c>
      <c r="C17" s="10" t="s">
        <v>36</v>
      </c>
      <c r="D17" s="11" t="s">
        <v>17</v>
      </c>
      <c r="E17" s="12">
        <v>60</v>
      </c>
      <c r="F17" s="13">
        <f t="shared" si="0"/>
        <v>36</v>
      </c>
      <c r="G17" s="13">
        <v>70.3</v>
      </c>
      <c r="H17" s="13">
        <f t="shared" si="1"/>
        <v>28.12</v>
      </c>
      <c r="I17" s="13">
        <f t="shared" si="2"/>
        <v>64.12</v>
      </c>
      <c r="J17" s="12">
        <v>5</v>
      </c>
      <c r="K17" s="10"/>
    </row>
    <row r="18" spans="1:11" s="2" customFormat="1" ht="36" customHeight="1">
      <c r="A18" s="10">
        <v>16</v>
      </c>
      <c r="B18" s="11" t="str">
        <f>"昝亚敏"</f>
        <v>昝亚敏</v>
      </c>
      <c r="C18" s="10" t="s">
        <v>37</v>
      </c>
      <c r="D18" s="11" t="s">
        <v>17</v>
      </c>
      <c r="E18" s="12">
        <v>59</v>
      </c>
      <c r="F18" s="13">
        <f t="shared" si="0"/>
        <v>35.4</v>
      </c>
      <c r="G18" s="13">
        <v>74.53</v>
      </c>
      <c r="H18" s="13">
        <f t="shared" si="1"/>
        <v>29.812000000000001</v>
      </c>
      <c r="I18" s="13">
        <f t="shared" si="2"/>
        <v>65.212000000000003</v>
      </c>
      <c r="J18" s="12">
        <v>4</v>
      </c>
      <c r="K18" s="10"/>
    </row>
    <row r="19" spans="1:11" s="2" customFormat="1" ht="36" customHeight="1">
      <c r="A19" s="10">
        <v>17</v>
      </c>
      <c r="B19" s="11" t="str">
        <f>"王永宇"</f>
        <v>王永宇</v>
      </c>
      <c r="C19" s="10" t="s">
        <v>38</v>
      </c>
      <c r="D19" s="11" t="s">
        <v>17</v>
      </c>
      <c r="E19" s="12">
        <v>61</v>
      </c>
      <c r="F19" s="13">
        <f t="shared" si="0"/>
        <v>36.6</v>
      </c>
      <c r="G19" s="13">
        <v>74.930000000000007</v>
      </c>
      <c r="H19" s="13">
        <f t="shared" si="1"/>
        <v>29.972000000000001</v>
      </c>
      <c r="I19" s="13">
        <f t="shared" si="2"/>
        <v>66.572000000000003</v>
      </c>
      <c r="J19" s="12">
        <v>3</v>
      </c>
      <c r="K19" s="10"/>
    </row>
    <row r="20" spans="1:11" s="2" customFormat="1" ht="36" customHeight="1">
      <c r="A20" s="10">
        <v>18</v>
      </c>
      <c r="B20" s="11" t="str">
        <f>"李诚锋"</f>
        <v>李诚锋</v>
      </c>
      <c r="C20" s="10" t="s">
        <v>39</v>
      </c>
      <c r="D20" s="11" t="s">
        <v>17</v>
      </c>
      <c r="E20" s="12">
        <v>61</v>
      </c>
      <c r="F20" s="13">
        <f t="shared" si="0"/>
        <v>36.6</v>
      </c>
      <c r="G20" s="13">
        <v>0</v>
      </c>
      <c r="H20" s="13">
        <f t="shared" si="1"/>
        <v>0</v>
      </c>
      <c r="I20" s="13">
        <f t="shared" si="2"/>
        <v>36.6</v>
      </c>
      <c r="J20" s="12">
        <v>6</v>
      </c>
      <c r="K20" s="13" t="s">
        <v>16</v>
      </c>
    </row>
    <row r="21" spans="1:11" s="2" customFormat="1" ht="36" customHeight="1">
      <c r="A21" s="10">
        <v>19</v>
      </c>
      <c r="B21" s="11" t="str">
        <f>"高金伟"</f>
        <v>高金伟</v>
      </c>
      <c r="C21" s="10" t="s">
        <v>40</v>
      </c>
      <c r="D21" s="11" t="s">
        <v>17</v>
      </c>
      <c r="E21" s="12">
        <v>65</v>
      </c>
      <c r="F21" s="13">
        <f t="shared" si="0"/>
        <v>39</v>
      </c>
      <c r="G21" s="13">
        <v>75.069999999999993</v>
      </c>
      <c r="H21" s="13">
        <f t="shared" si="1"/>
        <v>30.027999999999999</v>
      </c>
      <c r="I21" s="13">
        <f t="shared" si="2"/>
        <v>69.028000000000006</v>
      </c>
      <c r="J21" s="12">
        <v>2</v>
      </c>
      <c r="K21" s="10"/>
    </row>
    <row r="22" spans="1:11" s="2" customFormat="1" ht="33.75" customHeight="1">
      <c r="A22" s="10">
        <v>20</v>
      </c>
      <c r="B22" s="11" t="str">
        <f>"王雪妃"</f>
        <v>王雪妃</v>
      </c>
      <c r="C22" s="10" t="s">
        <v>41</v>
      </c>
      <c r="D22" s="11" t="s">
        <v>18</v>
      </c>
      <c r="E22" s="12">
        <v>74</v>
      </c>
      <c r="F22" s="13">
        <f t="shared" si="0"/>
        <v>44.4</v>
      </c>
      <c r="G22" s="13">
        <v>74.87</v>
      </c>
      <c r="H22" s="13">
        <f t="shared" si="1"/>
        <v>29.948</v>
      </c>
      <c r="I22" s="13">
        <f t="shared" si="2"/>
        <v>74.347999999999999</v>
      </c>
      <c r="J22" s="12">
        <v>10</v>
      </c>
      <c r="K22" s="10"/>
    </row>
    <row r="23" spans="1:11" s="2" customFormat="1" ht="33.75" customHeight="1">
      <c r="A23" s="10">
        <v>21</v>
      </c>
      <c r="B23" s="11" t="str">
        <f>"陈艳"</f>
        <v>陈艳</v>
      </c>
      <c r="C23" s="10" t="s">
        <v>42</v>
      </c>
      <c r="D23" s="11" t="s">
        <v>18</v>
      </c>
      <c r="E23" s="12">
        <v>81</v>
      </c>
      <c r="F23" s="13">
        <f t="shared" si="0"/>
        <v>48.6</v>
      </c>
      <c r="G23" s="13">
        <v>72.73</v>
      </c>
      <c r="H23" s="13">
        <f t="shared" si="1"/>
        <v>29.091999999999999</v>
      </c>
      <c r="I23" s="13">
        <f t="shared" si="2"/>
        <v>77.691999999999993</v>
      </c>
      <c r="J23" s="12">
        <v>3</v>
      </c>
      <c r="K23" s="10"/>
    </row>
    <row r="24" spans="1:11" s="2" customFormat="1" ht="33.75" customHeight="1">
      <c r="A24" s="10">
        <v>22</v>
      </c>
      <c r="B24" s="11" t="str">
        <f>"贾婷婷"</f>
        <v>贾婷婷</v>
      </c>
      <c r="C24" s="10" t="s">
        <v>43</v>
      </c>
      <c r="D24" s="11" t="s">
        <v>18</v>
      </c>
      <c r="E24" s="12">
        <v>74</v>
      </c>
      <c r="F24" s="13">
        <f t="shared" si="0"/>
        <v>44.4</v>
      </c>
      <c r="G24" s="13">
        <v>75.87</v>
      </c>
      <c r="H24" s="13">
        <f t="shared" si="1"/>
        <v>30.347999999999999</v>
      </c>
      <c r="I24" s="13">
        <f t="shared" si="2"/>
        <v>74.748000000000005</v>
      </c>
      <c r="J24" s="12">
        <v>9</v>
      </c>
      <c r="K24" s="10"/>
    </row>
    <row r="25" spans="1:11" s="2" customFormat="1" ht="33.75" customHeight="1">
      <c r="A25" s="10">
        <v>23</v>
      </c>
      <c r="B25" s="11" t="str">
        <f>"王家明"</f>
        <v>王家明</v>
      </c>
      <c r="C25" s="10" t="s">
        <v>44</v>
      </c>
      <c r="D25" s="11" t="s">
        <v>18</v>
      </c>
      <c r="E25" s="12">
        <v>71</v>
      </c>
      <c r="F25" s="13">
        <f t="shared" si="0"/>
        <v>42.6</v>
      </c>
      <c r="G25" s="13">
        <v>62.33</v>
      </c>
      <c r="H25" s="13">
        <f t="shared" si="1"/>
        <v>24.931999999999999</v>
      </c>
      <c r="I25" s="13">
        <f t="shared" si="2"/>
        <v>67.531999999999996</v>
      </c>
      <c r="J25" s="12">
        <v>22</v>
      </c>
      <c r="K25" s="10"/>
    </row>
    <row r="26" spans="1:11" s="2" customFormat="1" ht="33.75" customHeight="1">
      <c r="A26" s="10">
        <v>24</v>
      </c>
      <c r="B26" s="11" t="str">
        <f>"吴秀"</f>
        <v>吴秀</v>
      </c>
      <c r="C26" s="10" t="s">
        <v>45</v>
      </c>
      <c r="D26" s="11" t="s">
        <v>18</v>
      </c>
      <c r="E26" s="12">
        <v>78</v>
      </c>
      <c r="F26" s="13">
        <f t="shared" si="0"/>
        <v>46.8</v>
      </c>
      <c r="G26" s="13">
        <v>87.13</v>
      </c>
      <c r="H26" s="13">
        <f t="shared" si="1"/>
        <v>34.851999999999997</v>
      </c>
      <c r="I26" s="13">
        <f t="shared" si="2"/>
        <v>81.652000000000001</v>
      </c>
      <c r="J26" s="12">
        <v>1</v>
      </c>
      <c r="K26" s="10"/>
    </row>
    <row r="27" spans="1:11" s="2" customFormat="1" ht="33.75" customHeight="1">
      <c r="A27" s="10">
        <v>25</v>
      </c>
      <c r="B27" s="11" t="str">
        <f>"蔡琼春"</f>
        <v>蔡琼春</v>
      </c>
      <c r="C27" s="10" t="s">
        <v>46</v>
      </c>
      <c r="D27" s="11" t="s">
        <v>18</v>
      </c>
      <c r="E27" s="12">
        <v>72</v>
      </c>
      <c r="F27" s="13">
        <f t="shared" si="0"/>
        <v>43.2</v>
      </c>
      <c r="G27" s="13">
        <v>66.2</v>
      </c>
      <c r="H27" s="13">
        <f t="shared" si="1"/>
        <v>26.48</v>
      </c>
      <c r="I27" s="13">
        <f t="shared" si="2"/>
        <v>69.680000000000007</v>
      </c>
      <c r="J27" s="12">
        <v>19</v>
      </c>
      <c r="K27" s="10"/>
    </row>
    <row r="28" spans="1:11" s="2" customFormat="1" ht="33.75" customHeight="1">
      <c r="A28" s="10">
        <v>26</v>
      </c>
      <c r="B28" s="11" t="str">
        <f>"麦千蕾"</f>
        <v>麦千蕾</v>
      </c>
      <c r="C28" s="10" t="s">
        <v>47</v>
      </c>
      <c r="D28" s="11" t="s">
        <v>18</v>
      </c>
      <c r="E28" s="12">
        <v>73</v>
      </c>
      <c r="F28" s="13">
        <f t="shared" si="0"/>
        <v>43.8</v>
      </c>
      <c r="G28" s="13">
        <v>69.37</v>
      </c>
      <c r="H28" s="13">
        <f t="shared" si="1"/>
        <v>27.748000000000001</v>
      </c>
      <c r="I28" s="13">
        <f t="shared" si="2"/>
        <v>71.548000000000002</v>
      </c>
      <c r="J28" s="12">
        <v>15</v>
      </c>
      <c r="K28" s="10"/>
    </row>
    <row r="29" spans="1:11" s="2" customFormat="1" ht="33.75" customHeight="1">
      <c r="A29" s="10">
        <v>27</v>
      </c>
      <c r="B29" s="11" t="str">
        <f>"赵永利"</f>
        <v>赵永利</v>
      </c>
      <c r="C29" s="10" t="s">
        <v>48</v>
      </c>
      <c r="D29" s="11" t="s">
        <v>18</v>
      </c>
      <c r="E29" s="12">
        <v>72</v>
      </c>
      <c r="F29" s="13">
        <f t="shared" si="0"/>
        <v>43.2</v>
      </c>
      <c r="G29" s="13">
        <v>84.73</v>
      </c>
      <c r="H29" s="13">
        <f t="shared" si="1"/>
        <v>33.892000000000003</v>
      </c>
      <c r="I29" s="13">
        <f t="shared" si="2"/>
        <v>77.091999999999999</v>
      </c>
      <c r="J29" s="12">
        <v>6</v>
      </c>
      <c r="K29" s="10"/>
    </row>
    <row r="30" spans="1:11" s="2" customFormat="1" ht="33.75" customHeight="1">
      <c r="A30" s="10">
        <v>28</v>
      </c>
      <c r="B30" s="11" t="str">
        <f>"黄丽微"</f>
        <v>黄丽微</v>
      </c>
      <c r="C30" s="10" t="s">
        <v>49</v>
      </c>
      <c r="D30" s="11" t="s">
        <v>18</v>
      </c>
      <c r="E30" s="12">
        <v>79</v>
      </c>
      <c r="F30" s="13">
        <f t="shared" si="0"/>
        <v>47.4</v>
      </c>
      <c r="G30" s="13">
        <v>64.900000000000006</v>
      </c>
      <c r="H30" s="13">
        <f t="shared" si="1"/>
        <v>25.96</v>
      </c>
      <c r="I30" s="13">
        <f t="shared" si="2"/>
        <v>73.36</v>
      </c>
      <c r="J30" s="12">
        <v>12</v>
      </c>
      <c r="K30" s="10"/>
    </row>
    <row r="31" spans="1:11" s="2" customFormat="1" ht="33.75" customHeight="1">
      <c r="A31" s="10">
        <v>29</v>
      </c>
      <c r="B31" s="11" t="str">
        <f>"李丽"</f>
        <v>李丽</v>
      </c>
      <c r="C31" s="10" t="s">
        <v>50</v>
      </c>
      <c r="D31" s="11" t="s">
        <v>18</v>
      </c>
      <c r="E31" s="12">
        <v>74</v>
      </c>
      <c r="F31" s="13">
        <f t="shared" si="0"/>
        <v>44.4</v>
      </c>
      <c r="G31" s="13">
        <v>73.599999999999994</v>
      </c>
      <c r="H31" s="13">
        <f t="shared" si="1"/>
        <v>29.44</v>
      </c>
      <c r="I31" s="13">
        <f t="shared" si="2"/>
        <v>73.84</v>
      </c>
      <c r="J31" s="12">
        <v>11</v>
      </c>
      <c r="K31" s="10"/>
    </row>
    <row r="32" spans="1:11" s="2" customFormat="1" ht="33.75" customHeight="1">
      <c r="A32" s="10">
        <v>30</v>
      </c>
      <c r="B32" s="11" t="str">
        <f>"周霞"</f>
        <v>周霞</v>
      </c>
      <c r="C32" s="10" t="s">
        <v>51</v>
      </c>
      <c r="D32" s="11" t="s">
        <v>18</v>
      </c>
      <c r="E32" s="12">
        <v>82</v>
      </c>
      <c r="F32" s="13">
        <f t="shared" si="0"/>
        <v>49.2</v>
      </c>
      <c r="G32" s="13">
        <v>74</v>
      </c>
      <c r="H32" s="13">
        <f t="shared" si="1"/>
        <v>29.6</v>
      </c>
      <c r="I32" s="13">
        <f t="shared" si="2"/>
        <v>78.8</v>
      </c>
      <c r="J32" s="12">
        <v>2</v>
      </c>
      <c r="K32" s="10"/>
    </row>
    <row r="33" spans="1:11" s="2" customFormat="1" ht="33.75" customHeight="1">
      <c r="A33" s="10">
        <v>31</v>
      </c>
      <c r="B33" s="11" t="str">
        <f>"林永英"</f>
        <v>林永英</v>
      </c>
      <c r="C33" s="10" t="s">
        <v>52</v>
      </c>
      <c r="D33" s="11" t="s">
        <v>18</v>
      </c>
      <c r="E33" s="12">
        <v>76</v>
      </c>
      <c r="F33" s="13">
        <f t="shared" si="0"/>
        <v>45.6</v>
      </c>
      <c r="G33" s="13">
        <v>73.47</v>
      </c>
      <c r="H33" s="13">
        <f t="shared" si="1"/>
        <v>29.388000000000002</v>
      </c>
      <c r="I33" s="13">
        <f t="shared" si="2"/>
        <v>74.988</v>
      </c>
      <c r="J33" s="12">
        <v>8</v>
      </c>
      <c r="K33" s="10"/>
    </row>
    <row r="34" spans="1:11" s="2" customFormat="1" ht="33.75" customHeight="1">
      <c r="A34" s="10">
        <v>32</v>
      </c>
      <c r="B34" s="11" t="str">
        <f>"郑永春"</f>
        <v>郑永春</v>
      </c>
      <c r="C34" s="10" t="s">
        <v>53</v>
      </c>
      <c r="D34" s="11" t="s">
        <v>18</v>
      </c>
      <c r="E34" s="12">
        <v>72</v>
      </c>
      <c r="F34" s="13">
        <f t="shared" si="0"/>
        <v>43.2</v>
      </c>
      <c r="G34" s="13">
        <v>68.930000000000007</v>
      </c>
      <c r="H34" s="13">
        <f t="shared" si="1"/>
        <v>27.571999999999999</v>
      </c>
      <c r="I34" s="13">
        <f t="shared" si="2"/>
        <v>70.772000000000006</v>
      </c>
      <c r="J34" s="12">
        <v>17</v>
      </c>
      <c r="K34" s="10"/>
    </row>
    <row r="35" spans="1:11" s="2" customFormat="1" ht="33.75" customHeight="1">
      <c r="A35" s="10">
        <v>33</v>
      </c>
      <c r="B35" s="11" t="str">
        <f>"蔡少娜"</f>
        <v>蔡少娜</v>
      </c>
      <c r="C35" s="10" t="s">
        <v>54</v>
      </c>
      <c r="D35" s="11" t="s">
        <v>18</v>
      </c>
      <c r="E35" s="12">
        <v>71</v>
      </c>
      <c r="F35" s="13">
        <f t="shared" ref="F35:F66" si="3">E35*0.6</f>
        <v>42.6</v>
      </c>
      <c r="G35" s="13">
        <v>64.400000000000006</v>
      </c>
      <c r="H35" s="13">
        <f t="shared" ref="H35:H66" si="4">G35*0.4</f>
        <v>25.76</v>
      </c>
      <c r="I35" s="13">
        <f t="shared" ref="I35:I66" si="5">F35+H35</f>
        <v>68.36</v>
      </c>
      <c r="J35" s="12">
        <v>21</v>
      </c>
      <c r="K35" s="10"/>
    </row>
    <row r="36" spans="1:11" s="2" customFormat="1" ht="33.75" customHeight="1">
      <c r="A36" s="10">
        <v>34</v>
      </c>
      <c r="B36" s="11" t="str">
        <f>"陈文素"</f>
        <v>陈文素</v>
      </c>
      <c r="C36" s="10" t="s">
        <v>55</v>
      </c>
      <c r="D36" s="11" t="s">
        <v>18</v>
      </c>
      <c r="E36" s="12">
        <v>76</v>
      </c>
      <c r="F36" s="13">
        <f t="shared" si="3"/>
        <v>45.6</v>
      </c>
      <c r="G36" s="13">
        <v>78.77</v>
      </c>
      <c r="H36" s="13">
        <f t="shared" si="4"/>
        <v>31.507999999999999</v>
      </c>
      <c r="I36" s="13">
        <f t="shared" si="5"/>
        <v>77.108000000000004</v>
      </c>
      <c r="J36" s="12">
        <v>5</v>
      </c>
      <c r="K36" s="10"/>
    </row>
    <row r="37" spans="1:11" s="2" customFormat="1" ht="33.75" customHeight="1">
      <c r="A37" s="10">
        <v>35</v>
      </c>
      <c r="B37" s="11" t="str">
        <f>"许海旋"</f>
        <v>许海旋</v>
      </c>
      <c r="C37" s="10" t="s">
        <v>56</v>
      </c>
      <c r="D37" s="11" t="s">
        <v>18</v>
      </c>
      <c r="E37" s="12">
        <v>71</v>
      </c>
      <c r="F37" s="13">
        <f t="shared" si="3"/>
        <v>42.6</v>
      </c>
      <c r="G37" s="13">
        <v>64.77</v>
      </c>
      <c r="H37" s="13">
        <f t="shared" si="4"/>
        <v>25.908000000000001</v>
      </c>
      <c r="I37" s="13">
        <f t="shared" si="5"/>
        <v>68.507999999999996</v>
      </c>
      <c r="J37" s="12">
        <v>20</v>
      </c>
      <c r="K37" s="10"/>
    </row>
    <row r="38" spans="1:11" s="2" customFormat="1" ht="33.75" customHeight="1">
      <c r="A38" s="10">
        <v>36</v>
      </c>
      <c r="B38" s="11" t="str">
        <f>"王小帅"</f>
        <v>王小帅</v>
      </c>
      <c r="C38" s="10" t="s">
        <v>57</v>
      </c>
      <c r="D38" s="11" t="s">
        <v>18</v>
      </c>
      <c r="E38" s="12">
        <v>74</v>
      </c>
      <c r="F38" s="13">
        <f t="shared" si="3"/>
        <v>44.4</v>
      </c>
      <c r="G38" s="13">
        <v>79.569999999999993</v>
      </c>
      <c r="H38" s="13">
        <f t="shared" si="4"/>
        <v>31.827999999999999</v>
      </c>
      <c r="I38" s="13">
        <f t="shared" si="5"/>
        <v>76.227999999999994</v>
      </c>
      <c r="J38" s="12">
        <v>7</v>
      </c>
      <c r="K38" s="10"/>
    </row>
    <row r="39" spans="1:11" s="2" customFormat="1" ht="33.75" customHeight="1">
      <c r="A39" s="10">
        <v>37</v>
      </c>
      <c r="B39" s="11" t="str">
        <f>"陈朝燕"</f>
        <v>陈朝燕</v>
      </c>
      <c r="C39" s="10" t="s">
        <v>58</v>
      </c>
      <c r="D39" s="11" t="s">
        <v>18</v>
      </c>
      <c r="E39" s="12">
        <v>73</v>
      </c>
      <c r="F39" s="13">
        <f t="shared" si="3"/>
        <v>43.8</v>
      </c>
      <c r="G39" s="13">
        <v>65.2</v>
      </c>
      <c r="H39" s="13">
        <f t="shared" si="4"/>
        <v>26.08</v>
      </c>
      <c r="I39" s="13">
        <f t="shared" si="5"/>
        <v>69.88</v>
      </c>
      <c r="J39" s="12">
        <v>18</v>
      </c>
      <c r="K39" s="10"/>
    </row>
    <row r="40" spans="1:11" s="2" customFormat="1" ht="33.75" customHeight="1">
      <c r="A40" s="10">
        <v>38</v>
      </c>
      <c r="B40" s="11" t="str">
        <f>"陈南"</f>
        <v>陈南</v>
      </c>
      <c r="C40" s="10" t="s">
        <v>59</v>
      </c>
      <c r="D40" s="11" t="s">
        <v>18</v>
      </c>
      <c r="E40" s="12">
        <v>77</v>
      </c>
      <c r="F40" s="13">
        <f t="shared" si="3"/>
        <v>46.2</v>
      </c>
      <c r="G40" s="13">
        <v>65.87</v>
      </c>
      <c r="H40" s="13">
        <f t="shared" si="4"/>
        <v>26.347999999999999</v>
      </c>
      <c r="I40" s="13">
        <f t="shared" si="5"/>
        <v>72.548000000000002</v>
      </c>
      <c r="J40" s="12">
        <v>13</v>
      </c>
      <c r="K40" s="10"/>
    </row>
    <row r="41" spans="1:11" s="2" customFormat="1" ht="33.75" customHeight="1">
      <c r="A41" s="10">
        <v>39</v>
      </c>
      <c r="B41" s="11" t="str">
        <f>"顾方彩"</f>
        <v>顾方彩</v>
      </c>
      <c r="C41" s="10" t="s">
        <v>60</v>
      </c>
      <c r="D41" s="11" t="s">
        <v>18</v>
      </c>
      <c r="E41" s="12">
        <v>76</v>
      </c>
      <c r="F41" s="13">
        <f t="shared" si="3"/>
        <v>45.6</v>
      </c>
      <c r="G41" s="13">
        <v>79.2</v>
      </c>
      <c r="H41" s="13">
        <f t="shared" si="4"/>
        <v>31.68</v>
      </c>
      <c r="I41" s="13">
        <f t="shared" si="5"/>
        <v>77.28</v>
      </c>
      <c r="J41" s="12">
        <v>4</v>
      </c>
      <c r="K41" s="10"/>
    </row>
    <row r="42" spans="1:11" s="2" customFormat="1" ht="33.75" customHeight="1">
      <c r="A42" s="10">
        <v>40</v>
      </c>
      <c r="B42" s="11" t="str">
        <f>"洪小玲"</f>
        <v>洪小玲</v>
      </c>
      <c r="C42" s="10" t="s">
        <v>61</v>
      </c>
      <c r="D42" s="11" t="s">
        <v>18</v>
      </c>
      <c r="E42" s="12">
        <v>75</v>
      </c>
      <c r="F42" s="13">
        <f t="shared" si="3"/>
        <v>45</v>
      </c>
      <c r="G42" s="13">
        <v>66.569999999999993</v>
      </c>
      <c r="H42" s="13">
        <f t="shared" si="4"/>
        <v>26.628</v>
      </c>
      <c r="I42" s="13">
        <f t="shared" si="5"/>
        <v>71.628</v>
      </c>
      <c r="J42" s="12">
        <v>14</v>
      </c>
      <c r="K42" s="10"/>
    </row>
    <row r="43" spans="1:11" s="2" customFormat="1" ht="33.75" customHeight="1">
      <c r="A43" s="10">
        <v>41</v>
      </c>
      <c r="B43" s="11" t="str">
        <f>"刘怡"</f>
        <v>刘怡</v>
      </c>
      <c r="C43" s="10" t="s">
        <v>62</v>
      </c>
      <c r="D43" s="11" t="s">
        <v>18</v>
      </c>
      <c r="E43" s="12">
        <v>74</v>
      </c>
      <c r="F43" s="13">
        <f t="shared" si="3"/>
        <v>44.4</v>
      </c>
      <c r="G43" s="13">
        <v>66.930000000000007</v>
      </c>
      <c r="H43" s="13">
        <f t="shared" si="4"/>
        <v>26.771999999999998</v>
      </c>
      <c r="I43" s="13">
        <f t="shared" si="5"/>
        <v>71.171999999999997</v>
      </c>
      <c r="J43" s="12">
        <v>16</v>
      </c>
      <c r="K43" s="10"/>
    </row>
    <row r="44" spans="1:11" s="2" customFormat="1" ht="27" customHeight="1">
      <c r="A44" s="10">
        <v>42</v>
      </c>
      <c r="B44" s="11" t="str">
        <f>"梁小丽"</f>
        <v>梁小丽</v>
      </c>
      <c r="C44" s="10" t="s">
        <v>63</v>
      </c>
      <c r="D44" s="11" t="s">
        <v>19</v>
      </c>
      <c r="E44" s="12">
        <v>75</v>
      </c>
      <c r="F44" s="13">
        <f t="shared" si="3"/>
        <v>45</v>
      </c>
      <c r="G44" s="13">
        <v>78.47</v>
      </c>
      <c r="H44" s="13">
        <f t="shared" si="4"/>
        <v>31.388000000000002</v>
      </c>
      <c r="I44" s="13">
        <f t="shared" si="5"/>
        <v>76.388000000000005</v>
      </c>
      <c r="J44" s="12">
        <v>6</v>
      </c>
      <c r="K44" s="10"/>
    </row>
    <row r="45" spans="1:11" s="2" customFormat="1" ht="27" customHeight="1">
      <c r="A45" s="10">
        <v>43</v>
      </c>
      <c r="B45" s="11" t="str">
        <f>"吴小文"</f>
        <v>吴小文</v>
      </c>
      <c r="C45" s="10" t="s">
        <v>64</v>
      </c>
      <c r="D45" s="11" t="s">
        <v>19</v>
      </c>
      <c r="E45" s="12">
        <v>72</v>
      </c>
      <c r="F45" s="13">
        <f t="shared" si="3"/>
        <v>43.2</v>
      </c>
      <c r="G45" s="13">
        <v>62.33</v>
      </c>
      <c r="H45" s="13">
        <f t="shared" si="4"/>
        <v>24.931999999999999</v>
      </c>
      <c r="I45" s="13">
        <f t="shared" si="5"/>
        <v>68.132000000000005</v>
      </c>
      <c r="J45" s="12">
        <v>27</v>
      </c>
      <c r="K45" s="10"/>
    </row>
    <row r="46" spans="1:11" s="2" customFormat="1" ht="27" customHeight="1">
      <c r="A46" s="10">
        <v>44</v>
      </c>
      <c r="B46" s="11" t="str">
        <f>"顾晓露"</f>
        <v>顾晓露</v>
      </c>
      <c r="C46" s="10" t="s">
        <v>65</v>
      </c>
      <c r="D46" s="11" t="s">
        <v>19</v>
      </c>
      <c r="E46" s="12">
        <v>72</v>
      </c>
      <c r="F46" s="13">
        <f t="shared" si="3"/>
        <v>43.2</v>
      </c>
      <c r="G46" s="13">
        <v>67.069999999999993</v>
      </c>
      <c r="H46" s="13">
        <f t="shared" si="4"/>
        <v>26.827999999999999</v>
      </c>
      <c r="I46" s="13">
        <f t="shared" si="5"/>
        <v>70.028000000000006</v>
      </c>
      <c r="J46" s="12">
        <v>24</v>
      </c>
      <c r="K46" s="10"/>
    </row>
    <row r="47" spans="1:11" s="2" customFormat="1" ht="27" customHeight="1">
      <c r="A47" s="10">
        <v>45</v>
      </c>
      <c r="B47" s="11" t="str">
        <f>"刘星恋"</f>
        <v>刘星恋</v>
      </c>
      <c r="C47" s="10" t="s">
        <v>66</v>
      </c>
      <c r="D47" s="11" t="s">
        <v>19</v>
      </c>
      <c r="E47" s="12">
        <v>75</v>
      </c>
      <c r="F47" s="13">
        <f t="shared" si="3"/>
        <v>45</v>
      </c>
      <c r="G47" s="13">
        <v>71.53</v>
      </c>
      <c r="H47" s="13">
        <f t="shared" si="4"/>
        <v>28.611999999999998</v>
      </c>
      <c r="I47" s="13">
        <f t="shared" si="5"/>
        <v>73.611999999999995</v>
      </c>
      <c r="J47" s="12">
        <v>15</v>
      </c>
      <c r="K47" s="10"/>
    </row>
    <row r="48" spans="1:11" s="2" customFormat="1" ht="27" customHeight="1">
      <c r="A48" s="10">
        <v>46</v>
      </c>
      <c r="B48" s="11" t="str">
        <f>"王阿慧"</f>
        <v>王阿慧</v>
      </c>
      <c r="C48" s="10" t="s">
        <v>67</v>
      </c>
      <c r="D48" s="11" t="s">
        <v>19</v>
      </c>
      <c r="E48" s="12">
        <v>82</v>
      </c>
      <c r="F48" s="13">
        <f t="shared" si="3"/>
        <v>49.2</v>
      </c>
      <c r="G48" s="13">
        <v>71.63</v>
      </c>
      <c r="H48" s="13">
        <f t="shared" si="4"/>
        <v>28.652000000000001</v>
      </c>
      <c r="I48" s="13">
        <f t="shared" si="5"/>
        <v>77.852000000000004</v>
      </c>
      <c r="J48" s="12">
        <v>4</v>
      </c>
      <c r="K48" s="10"/>
    </row>
    <row r="49" spans="1:11" s="2" customFormat="1" ht="27" customHeight="1">
      <c r="A49" s="10">
        <v>47</v>
      </c>
      <c r="B49" s="11" t="str">
        <f>"张雪娜"</f>
        <v>张雪娜</v>
      </c>
      <c r="C49" s="10" t="s">
        <v>68</v>
      </c>
      <c r="D49" s="11" t="s">
        <v>19</v>
      </c>
      <c r="E49" s="12">
        <v>78</v>
      </c>
      <c r="F49" s="13">
        <f t="shared" si="3"/>
        <v>46.8</v>
      </c>
      <c r="G49" s="13">
        <v>78.2</v>
      </c>
      <c r="H49" s="13">
        <f t="shared" si="4"/>
        <v>31.28</v>
      </c>
      <c r="I49" s="13">
        <f t="shared" si="5"/>
        <v>78.08</v>
      </c>
      <c r="J49" s="12">
        <v>3</v>
      </c>
      <c r="K49" s="10"/>
    </row>
    <row r="50" spans="1:11" s="2" customFormat="1" ht="27" customHeight="1">
      <c r="A50" s="10">
        <v>48</v>
      </c>
      <c r="B50" s="11" t="str">
        <f>"马俊荣"</f>
        <v>马俊荣</v>
      </c>
      <c r="C50" s="10" t="s">
        <v>69</v>
      </c>
      <c r="D50" s="11" t="s">
        <v>19</v>
      </c>
      <c r="E50" s="12">
        <v>72</v>
      </c>
      <c r="F50" s="13">
        <f t="shared" si="3"/>
        <v>43.2</v>
      </c>
      <c r="G50" s="13">
        <v>82</v>
      </c>
      <c r="H50" s="13">
        <f t="shared" si="4"/>
        <v>32.799999999999997</v>
      </c>
      <c r="I50" s="13">
        <f t="shared" si="5"/>
        <v>76</v>
      </c>
      <c r="J50" s="12">
        <v>7</v>
      </c>
      <c r="K50" s="10"/>
    </row>
    <row r="51" spans="1:11" s="2" customFormat="1" ht="27" customHeight="1">
      <c r="A51" s="10">
        <v>49</v>
      </c>
      <c r="B51" s="11" t="str">
        <f>"吴娟"</f>
        <v>吴娟</v>
      </c>
      <c r="C51" s="10" t="s">
        <v>70</v>
      </c>
      <c r="D51" s="11" t="s">
        <v>19</v>
      </c>
      <c r="E51" s="12">
        <v>74</v>
      </c>
      <c r="F51" s="13">
        <f t="shared" si="3"/>
        <v>44.4</v>
      </c>
      <c r="G51" s="13">
        <v>63.37</v>
      </c>
      <c r="H51" s="13">
        <f t="shared" si="4"/>
        <v>25.347999999999999</v>
      </c>
      <c r="I51" s="13">
        <f t="shared" si="5"/>
        <v>69.748000000000005</v>
      </c>
      <c r="J51" s="12">
        <v>25</v>
      </c>
      <c r="K51" s="10"/>
    </row>
    <row r="52" spans="1:11" s="2" customFormat="1" ht="27" customHeight="1">
      <c r="A52" s="10">
        <v>50</v>
      </c>
      <c r="B52" s="11" t="str">
        <f>"王少娜"</f>
        <v>王少娜</v>
      </c>
      <c r="C52" s="10" t="s">
        <v>71</v>
      </c>
      <c r="D52" s="11" t="s">
        <v>19</v>
      </c>
      <c r="E52" s="12">
        <v>74</v>
      </c>
      <c r="F52" s="13">
        <f t="shared" si="3"/>
        <v>44.4</v>
      </c>
      <c r="G52" s="13">
        <v>64.77</v>
      </c>
      <c r="H52" s="13">
        <f t="shared" si="4"/>
        <v>25.908000000000001</v>
      </c>
      <c r="I52" s="13">
        <f t="shared" si="5"/>
        <v>70.308000000000007</v>
      </c>
      <c r="J52" s="12">
        <v>23</v>
      </c>
      <c r="K52" s="10"/>
    </row>
    <row r="53" spans="1:11" s="2" customFormat="1" ht="27" customHeight="1">
      <c r="A53" s="10">
        <v>51</v>
      </c>
      <c r="B53" s="11" t="str">
        <f>"王玉婉"</f>
        <v>王玉婉</v>
      </c>
      <c r="C53" s="10" t="s">
        <v>72</v>
      </c>
      <c r="D53" s="11" t="s">
        <v>19</v>
      </c>
      <c r="E53" s="12">
        <v>73</v>
      </c>
      <c r="F53" s="13">
        <f t="shared" si="3"/>
        <v>43.8</v>
      </c>
      <c r="G53" s="13">
        <v>84.43</v>
      </c>
      <c r="H53" s="13">
        <f t="shared" si="4"/>
        <v>33.771999999999998</v>
      </c>
      <c r="I53" s="13">
        <f t="shared" si="5"/>
        <v>77.572000000000003</v>
      </c>
      <c r="J53" s="12">
        <v>5</v>
      </c>
      <c r="K53" s="10"/>
    </row>
    <row r="54" spans="1:11" s="2" customFormat="1" ht="27" customHeight="1">
      <c r="A54" s="10">
        <v>52</v>
      </c>
      <c r="B54" s="11" t="str">
        <f>"吴春艾"</f>
        <v>吴春艾</v>
      </c>
      <c r="C54" s="10" t="s">
        <v>73</v>
      </c>
      <c r="D54" s="11" t="s">
        <v>19</v>
      </c>
      <c r="E54" s="12">
        <v>74</v>
      </c>
      <c r="F54" s="13">
        <f t="shared" si="3"/>
        <v>44.4</v>
      </c>
      <c r="G54" s="13">
        <v>66.7</v>
      </c>
      <c r="H54" s="13">
        <f t="shared" si="4"/>
        <v>26.68</v>
      </c>
      <c r="I54" s="13">
        <f t="shared" si="5"/>
        <v>71.08</v>
      </c>
      <c r="J54" s="12">
        <v>21</v>
      </c>
      <c r="K54" s="10"/>
    </row>
    <row r="55" spans="1:11" s="2" customFormat="1" ht="27" customHeight="1">
      <c r="A55" s="10">
        <v>53</v>
      </c>
      <c r="B55" s="11" t="str">
        <f>"何瑜"</f>
        <v>何瑜</v>
      </c>
      <c r="C55" s="10" t="s">
        <v>74</v>
      </c>
      <c r="D55" s="11" t="s">
        <v>19</v>
      </c>
      <c r="E55" s="12">
        <v>74</v>
      </c>
      <c r="F55" s="13">
        <f t="shared" si="3"/>
        <v>44.4</v>
      </c>
      <c r="G55" s="13">
        <v>74.83</v>
      </c>
      <c r="H55" s="13">
        <f t="shared" si="4"/>
        <v>29.931999999999999</v>
      </c>
      <c r="I55" s="13">
        <f t="shared" si="5"/>
        <v>74.331999999999994</v>
      </c>
      <c r="J55" s="12">
        <v>11</v>
      </c>
      <c r="K55" s="10"/>
    </row>
    <row r="56" spans="1:11" s="2" customFormat="1" ht="27" customHeight="1">
      <c r="A56" s="10">
        <v>54</v>
      </c>
      <c r="B56" s="11" t="str">
        <f>"卢蕊玉"</f>
        <v>卢蕊玉</v>
      </c>
      <c r="C56" s="10" t="s">
        <v>75</v>
      </c>
      <c r="D56" s="11" t="s">
        <v>19</v>
      </c>
      <c r="E56" s="12">
        <v>83</v>
      </c>
      <c r="F56" s="13">
        <f t="shared" si="3"/>
        <v>49.8</v>
      </c>
      <c r="G56" s="13">
        <v>82.17</v>
      </c>
      <c r="H56" s="13">
        <f t="shared" si="4"/>
        <v>32.868000000000002</v>
      </c>
      <c r="I56" s="13">
        <f t="shared" si="5"/>
        <v>82.668000000000006</v>
      </c>
      <c r="J56" s="12">
        <v>1</v>
      </c>
      <c r="K56" s="10"/>
    </row>
    <row r="57" spans="1:11" s="2" customFormat="1" ht="27" customHeight="1">
      <c r="A57" s="10">
        <v>55</v>
      </c>
      <c r="B57" s="11" t="str">
        <f>"丁杏"</f>
        <v>丁杏</v>
      </c>
      <c r="C57" s="10" t="s">
        <v>76</v>
      </c>
      <c r="D57" s="11" t="s">
        <v>19</v>
      </c>
      <c r="E57" s="12">
        <v>72</v>
      </c>
      <c r="F57" s="13">
        <f t="shared" si="3"/>
        <v>43.2</v>
      </c>
      <c r="G57" s="13">
        <v>81.37</v>
      </c>
      <c r="H57" s="13">
        <f t="shared" si="4"/>
        <v>32.548000000000002</v>
      </c>
      <c r="I57" s="13">
        <f t="shared" si="5"/>
        <v>75.748000000000005</v>
      </c>
      <c r="J57" s="12">
        <v>9</v>
      </c>
      <c r="K57" s="10"/>
    </row>
    <row r="58" spans="1:11" s="2" customFormat="1" ht="27" customHeight="1">
      <c r="A58" s="10">
        <v>56</v>
      </c>
      <c r="B58" s="11" t="str">
        <f>"王苗"</f>
        <v>王苗</v>
      </c>
      <c r="C58" s="10" t="s">
        <v>77</v>
      </c>
      <c r="D58" s="11" t="s">
        <v>19</v>
      </c>
      <c r="E58" s="12">
        <v>76</v>
      </c>
      <c r="F58" s="13">
        <f t="shared" si="3"/>
        <v>45.6</v>
      </c>
      <c r="G58" s="13">
        <v>65.23</v>
      </c>
      <c r="H58" s="13">
        <f t="shared" si="4"/>
        <v>26.091999999999999</v>
      </c>
      <c r="I58" s="13">
        <f t="shared" si="5"/>
        <v>71.691999999999993</v>
      </c>
      <c r="J58" s="12">
        <v>20</v>
      </c>
      <c r="K58" s="10"/>
    </row>
    <row r="59" spans="1:11" s="2" customFormat="1" ht="27" customHeight="1">
      <c r="A59" s="10">
        <v>57</v>
      </c>
      <c r="B59" s="11" t="str">
        <f>"何小清"</f>
        <v>何小清</v>
      </c>
      <c r="C59" s="10" t="s">
        <v>78</v>
      </c>
      <c r="D59" s="11" t="s">
        <v>19</v>
      </c>
      <c r="E59" s="12">
        <v>82</v>
      </c>
      <c r="F59" s="13">
        <f t="shared" si="3"/>
        <v>49.2</v>
      </c>
      <c r="G59" s="13">
        <v>65.930000000000007</v>
      </c>
      <c r="H59" s="13">
        <f t="shared" si="4"/>
        <v>26.372</v>
      </c>
      <c r="I59" s="13">
        <f t="shared" si="5"/>
        <v>75.572000000000003</v>
      </c>
      <c r="J59" s="12">
        <v>10</v>
      </c>
      <c r="K59" s="10"/>
    </row>
    <row r="60" spans="1:11" s="2" customFormat="1" ht="27" customHeight="1">
      <c r="A60" s="10">
        <v>58</v>
      </c>
      <c r="B60" s="11" t="str">
        <f>"王曼"</f>
        <v>王曼</v>
      </c>
      <c r="C60" s="10" t="s">
        <v>79</v>
      </c>
      <c r="D60" s="11" t="s">
        <v>19</v>
      </c>
      <c r="E60" s="12">
        <v>73</v>
      </c>
      <c r="F60" s="13">
        <f t="shared" si="3"/>
        <v>43.8</v>
      </c>
      <c r="G60" s="13">
        <v>73.37</v>
      </c>
      <c r="H60" s="13">
        <f t="shared" si="4"/>
        <v>29.347999999999999</v>
      </c>
      <c r="I60" s="13">
        <f t="shared" si="5"/>
        <v>73.147999999999996</v>
      </c>
      <c r="J60" s="12">
        <v>17</v>
      </c>
      <c r="K60" s="10"/>
    </row>
    <row r="61" spans="1:11" s="2" customFormat="1" ht="27" customHeight="1">
      <c r="A61" s="10">
        <v>59</v>
      </c>
      <c r="B61" s="11" t="str">
        <f>"叶长丽"</f>
        <v>叶长丽</v>
      </c>
      <c r="C61" s="10" t="s">
        <v>80</v>
      </c>
      <c r="D61" s="11" t="s">
        <v>19</v>
      </c>
      <c r="E61" s="12">
        <v>72</v>
      </c>
      <c r="F61" s="13">
        <f t="shared" si="3"/>
        <v>43.2</v>
      </c>
      <c r="G61" s="13">
        <v>76.7</v>
      </c>
      <c r="H61" s="13">
        <f t="shared" si="4"/>
        <v>30.68</v>
      </c>
      <c r="I61" s="13">
        <f t="shared" si="5"/>
        <v>73.88</v>
      </c>
      <c r="J61" s="12">
        <v>13</v>
      </c>
      <c r="K61" s="10"/>
    </row>
    <row r="62" spans="1:11" s="2" customFormat="1" ht="27" customHeight="1">
      <c r="A62" s="10">
        <v>60</v>
      </c>
      <c r="B62" s="11" t="str">
        <f>"谢珍"</f>
        <v>谢珍</v>
      </c>
      <c r="C62" s="10" t="s">
        <v>81</v>
      </c>
      <c r="D62" s="11" t="s">
        <v>19</v>
      </c>
      <c r="E62" s="12">
        <v>73</v>
      </c>
      <c r="F62" s="13">
        <f t="shared" si="3"/>
        <v>43.8</v>
      </c>
      <c r="G62" s="13">
        <v>71.47</v>
      </c>
      <c r="H62" s="13">
        <f t="shared" si="4"/>
        <v>28.588000000000001</v>
      </c>
      <c r="I62" s="13">
        <f t="shared" si="5"/>
        <v>72.388000000000005</v>
      </c>
      <c r="J62" s="12">
        <v>19</v>
      </c>
      <c r="K62" s="10"/>
    </row>
    <row r="63" spans="1:11" s="2" customFormat="1" ht="27" customHeight="1">
      <c r="A63" s="10">
        <v>61</v>
      </c>
      <c r="B63" s="11" t="str">
        <f>"吴育丽"</f>
        <v>吴育丽</v>
      </c>
      <c r="C63" s="10" t="s">
        <v>82</v>
      </c>
      <c r="D63" s="11" t="s">
        <v>19</v>
      </c>
      <c r="E63" s="12">
        <v>72</v>
      </c>
      <c r="F63" s="13">
        <f t="shared" si="3"/>
        <v>43.2</v>
      </c>
      <c r="G63" s="13">
        <v>73.069999999999993</v>
      </c>
      <c r="H63" s="13">
        <f t="shared" si="4"/>
        <v>29.228000000000002</v>
      </c>
      <c r="I63" s="13">
        <f t="shared" si="5"/>
        <v>72.427999999999997</v>
      </c>
      <c r="J63" s="12">
        <v>18</v>
      </c>
      <c r="K63" s="10"/>
    </row>
    <row r="64" spans="1:11" s="2" customFormat="1" ht="27" customHeight="1">
      <c r="A64" s="10">
        <v>62</v>
      </c>
      <c r="B64" s="11" t="str">
        <f>"周颖"</f>
        <v>周颖</v>
      </c>
      <c r="C64" s="10" t="s">
        <v>83</v>
      </c>
      <c r="D64" s="11" t="s">
        <v>19</v>
      </c>
      <c r="E64" s="12">
        <v>77</v>
      </c>
      <c r="F64" s="13">
        <f t="shared" si="3"/>
        <v>46.2</v>
      </c>
      <c r="G64" s="13">
        <v>70.27</v>
      </c>
      <c r="H64" s="13">
        <f t="shared" si="4"/>
        <v>28.108000000000001</v>
      </c>
      <c r="I64" s="13">
        <f t="shared" si="5"/>
        <v>74.308000000000007</v>
      </c>
      <c r="J64" s="12">
        <v>12</v>
      </c>
      <c r="K64" s="10"/>
    </row>
    <row r="65" spans="1:11" s="2" customFormat="1" ht="27" customHeight="1">
      <c r="A65" s="10">
        <v>63</v>
      </c>
      <c r="B65" s="11" t="str">
        <f>"梁笛"</f>
        <v>梁笛</v>
      </c>
      <c r="C65" s="10" t="s">
        <v>84</v>
      </c>
      <c r="D65" s="11" t="s">
        <v>19</v>
      </c>
      <c r="E65" s="12">
        <v>73</v>
      </c>
      <c r="F65" s="13">
        <f t="shared" si="3"/>
        <v>43.8</v>
      </c>
      <c r="G65" s="13">
        <v>63.77</v>
      </c>
      <c r="H65" s="13">
        <f t="shared" si="4"/>
        <v>25.507999999999999</v>
      </c>
      <c r="I65" s="13">
        <f t="shared" si="5"/>
        <v>69.308000000000007</v>
      </c>
      <c r="J65" s="12">
        <v>26</v>
      </c>
      <c r="K65" s="10"/>
    </row>
    <row r="66" spans="1:11" s="2" customFormat="1" ht="27" customHeight="1">
      <c r="A66" s="10">
        <v>64</v>
      </c>
      <c r="B66" s="11" t="str">
        <f>"卢玉姝"</f>
        <v>卢玉姝</v>
      </c>
      <c r="C66" s="10" t="s">
        <v>85</v>
      </c>
      <c r="D66" s="11" t="s">
        <v>19</v>
      </c>
      <c r="E66" s="12">
        <v>81</v>
      </c>
      <c r="F66" s="13">
        <f t="shared" si="3"/>
        <v>48.6</v>
      </c>
      <c r="G66" s="13">
        <v>68.400000000000006</v>
      </c>
      <c r="H66" s="13">
        <f t="shared" si="4"/>
        <v>27.36</v>
      </c>
      <c r="I66" s="13">
        <f t="shared" si="5"/>
        <v>75.959999999999994</v>
      </c>
      <c r="J66" s="12">
        <v>8</v>
      </c>
      <c r="K66" s="10"/>
    </row>
    <row r="67" spans="1:11" s="2" customFormat="1" ht="27" customHeight="1">
      <c r="A67" s="10">
        <v>65</v>
      </c>
      <c r="B67" s="11" t="str">
        <f>"林春丹"</f>
        <v>林春丹</v>
      </c>
      <c r="C67" s="10" t="s">
        <v>86</v>
      </c>
      <c r="D67" s="11" t="s">
        <v>19</v>
      </c>
      <c r="E67" s="12">
        <v>75</v>
      </c>
      <c r="F67" s="13">
        <f t="shared" ref="F67:F98" si="6">E67*0.6</f>
        <v>45</v>
      </c>
      <c r="G67" s="13">
        <v>64.569999999999993</v>
      </c>
      <c r="H67" s="13">
        <f t="shared" ref="H67:H98" si="7">G67*0.4</f>
        <v>25.827999999999999</v>
      </c>
      <c r="I67" s="13">
        <f t="shared" ref="I67:I98" si="8">F67+H67</f>
        <v>70.828000000000003</v>
      </c>
      <c r="J67" s="12">
        <v>22</v>
      </c>
      <c r="K67" s="10"/>
    </row>
    <row r="68" spans="1:11" s="2" customFormat="1" ht="27" customHeight="1">
      <c r="A68" s="10">
        <v>66</v>
      </c>
      <c r="B68" s="11" t="str">
        <f>"王雯"</f>
        <v>王雯</v>
      </c>
      <c r="C68" s="10" t="s">
        <v>87</v>
      </c>
      <c r="D68" s="11" t="s">
        <v>19</v>
      </c>
      <c r="E68" s="12">
        <v>74</v>
      </c>
      <c r="F68" s="13">
        <f t="shared" si="6"/>
        <v>44.4</v>
      </c>
      <c r="G68" s="13">
        <v>73.03</v>
      </c>
      <c r="H68" s="13">
        <f t="shared" si="7"/>
        <v>29.212</v>
      </c>
      <c r="I68" s="13">
        <f t="shared" si="8"/>
        <v>73.611999999999995</v>
      </c>
      <c r="J68" s="12">
        <v>15</v>
      </c>
      <c r="K68" s="10"/>
    </row>
    <row r="69" spans="1:11" s="2" customFormat="1" ht="27" customHeight="1">
      <c r="A69" s="10">
        <v>67</v>
      </c>
      <c r="B69" s="11" t="str">
        <f>"周李梅"</f>
        <v>周李梅</v>
      </c>
      <c r="C69" s="10" t="s">
        <v>88</v>
      </c>
      <c r="D69" s="11" t="s">
        <v>19</v>
      </c>
      <c r="E69" s="12">
        <v>76</v>
      </c>
      <c r="F69" s="13">
        <f t="shared" si="6"/>
        <v>45.6</v>
      </c>
      <c r="G69" s="13">
        <v>70.3</v>
      </c>
      <c r="H69" s="13">
        <f t="shared" si="7"/>
        <v>28.12</v>
      </c>
      <c r="I69" s="13">
        <f t="shared" si="8"/>
        <v>73.72</v>
      </c>
      <c r="J69" s="12">
        <v>14</v>
      </c>
      <c r="K69" s="10"/>
    </row>
    <row r="70" spans="1:11" s="2" customFormat="1" ht="27" customHeight="1">
      <c r="A70" s="10">
        <v>68</v>
      </c>
      <c r="B70" s="11" t="str">
        <f>"王玉梦"</f>
        <v>王玉梦</v>
      </c>
      <c r="C70" s="10" t="s">
        <v>89</v>
      </c>
      <c r="D70" s="11" t="s">
        <v>19</v>
      </c>
      <c r="E70" s="12">
        <v>84</v>
      </c>
      <c r="F70" s="13">
        <f t="shared" si="6"/>
        <v>50.4</v>
      </c>
      <c r="G70" s="13">
        <v>80.27</v>
      </c>
      <c r="H70" s="13">
        <f t="shared" si="7"/>
        <v>32.107999999999997</v>
      </c>
      <c r="I70" s="13">
        <f t="shared" si="8"/>
        <v>82.507999999999996</v>
      </c>
      <c r="J70" s="12">
        <v>2</v>
      </c>
      <c r="K70" s="10"/>
    </row>
    <row r="71" spans="1:11" s="2" customFormat="1" ht="29.1" customHeight="1">
      <c r="A71" s="10">
        <v>69</v>
      </c>
      <c r="B71" s="11" t="str">
        <f>"杨惠雅"</f>
        <v>杨惠雅</v>
      </c>
      <c r="C71" s="10" t="s">
        <v>90</v>
      </c>
      <c r="D71" s="11" t="s">
        <v>20</v>
      </c>
      <c r="E71" s="12">
        <v>76</v>
      </c>
      <c r="F71" s="13">
        <f t="shared" si="6"/>
        <v>45.6</v>
      </c>
      <c r="G71" s="13">
        <v>74.33</v>
      </c>
      <c r="H71" s="13">
        <f t="shared" si="7"/>
        <v>29.731999999999999</v>
      </c>
      <c r="I71" s="13">
        <f t="shared" si="8"/>
        <v>75.331999999999994</v>
      </c>
      <c r="J71" s="12">
        <v>12</v>
      </c>
      <c r="K71" s="10"/>
    </row>
    <row r="72" spans="1:11" s="2" customFormat="1" ht="29.1" customHeight="1">
      <c r="A72" s="10">
        <v>70</v>
      </c>
      <c r="B72" s="11" t="str">
        <f>"陈秋云"</f>
        <v>陈秋云</v>
      </c>
      <c r="C72" s="10" t="s">
        <v>91</v>
      </c>
      <c r="D72" s="11" t="s">
        <v>20</v>
      </c>
      <c r="E72" s="12">
        <v>77</v>
      </c>
      <c r="F72" s="13">
        <f t="shared" si="6"/>
        <v>46.2</v>
      </c>
      <c r="G72" s="13">
        <v>74</v>
      </c>
      <c r="H72" s="13">
        <f t="shared" si="7"/>
        <v>29.6</v>
      </c>
      <c r="I72" s="13">
        <f t="shared" si="8"/>
        <v>75.8</v>
      </c>
      <c r="J72" s="12">
        <v>8</v>
      </c>
      <c r="K72" s="10"/>
    </row>
    <row r="73" spans="1:11" s="2" customFormat="1" ht="29.1" customHeight="1">
      <c r="A73" s="10">
        <v>71</v>
      </c>
      <c r="B73" s="11" t="str">
        <f>"刘旭晓"</f>
        <v>刘旭晓</v>
      </c>
      <c r="C73" s="10" t="s">
        <v>92</v>
      </c>
      <c r="D73" s="11" t="s">
        <v>20</v>
      </c>
      <c r="E73" s="12">
        <v>76</v>
      </c>
      <c r="F73" s="13">
        <f t="shared" si="6"/>
        <v>45.6</v>
      </c>
      <c r="G73" s="13">
        <v>69.8</v>
      </c>
      <c r="H73" s="13">
        <f t="shared" si="7"/>
        <v>27.92</v>
      </c>
      <c r="I73" s="13">
        <f t="shared" si="8"/>
        <v>73.52</v>
      </c>
      <c r="J73" s="12">
        <v>14</v>
      </c>
      <c r="K73" s="10"/>
    </row>
    <row r="74" spans="1:11" s="2" customFormat="1" ht="29.1" customHeight="1">
      <c r="A74" s="10">
        <v>72</v>
      </c>
      <c r="B74" s="11" t="str">
        <f>"李际娜"</f>
        <v>李际娜</v>
      </c>
      <c r="C74" s="10" t="s">
        <v>93</v>
      </c>
      <c r="D74" s="11" t="s">
        <v>20</v>
      </c>
      <c r="E74" s="12">
        <v>77</v>
      </c>
      <c r="F74" s="13">
        <f t="shared" si="6"/>
        <v>46.2</v>
      </c>
      <c r="G74" s="13">
        <v>73.7</v>
      </c>
      <c r="H74" s="13">
        <f t="shared" si="7"/>
        <v>29.48</v>
      </c>
      <c r="I74" s="13">
        <f t="shared" si="8"/>
        <v>75.680000000000007</v>
      </c>
      <c r="J74" s="12">
        <v>9</v>
      </c>
      <c r="K74" s="10"/>
    </row>
    <row r="75" spans="1:11" s="2" customFormat="1" ht="29.1" customHeight="1">
      <c r="A75" s="10">
        <v>73</v>
      </c>
      <c r="B75" s="11" t="str">
        <f>"杨丹敏"</f>
        <v>杨丹敏</v>
      </c>
      <c r="C75" s="10" t="s">
        <v>94</v>
      </c>
      <c r="D75" s="11" t="s">
        <v>20</v>
      </c>
      <c r="E75" s="12">
        <v>75</v>
      </c>
      <c r="F75" s="13">
        <f t="shared" si="6"/>
        <v>45</v>
      </c>
      <c r="G75" s="13">
        <v>68.069999999999993</v>
      </c>
      <c r="H75" s="13">
        <f t="shared" si="7"/>
        <v>27.228000000000002</v>
      </c>
      <c r="I75" s="13">
        <f t="shared" si="8"/>
        <v>72.227999999999994</v>
      </c>
      <c r="J75" s="12">
        <v>21</v>
      </c>
      <c r="K75" s="10"/>
    </row>
    <row r="76" spans="1:11" s="2" customFormat="1" ht="29.1" customHeight="1">
      <c r="A76" s="10">
        <v>74</v>
      </c>
      <c r="B76" s="11" t="str">
        <f>"冯紫兰"</f>
        <v>冯紫兰</v>
      </c>
      <c r="C76" s="10" t="s">
        <v>95</v>
      </c>
      <c r="D76" s="11" t="s">
        <v>20</v>
      </c>
      <c r="E76" s="12">
        <v>78</v>
      </c>
      <c r="F76" s="13">
        <f t="shared" si="6"/>
        <v>46.8</v>
      </c>
      <c r="G76" s="13">
        <v>76.3</v>
      </c>
      <c r="H76" s="13">
        <f t="shared" si="7"/>
        <v>30.52</v>
      </c>
      <c r="I76" s="13">
        <f t="shared" si="8"/>
        <v>77.319999999999993</v>
      </c>
      <c r="J76" s="12">
        <v>5</v>
      </c>
      <c r="K76" s="10"/>
    </row>
    <row r="77" spans="1:11" s="2" customFormat="1" ht="29.1" customHeight="1">
      <c r="A77" s="10">
        <v>75</v>
      </c>
      <c r="B77" s="11" t="str">
        <f>"李夏虹"</f>
        <v>李夏虹</v>
      </c>
      <c r="C77" s="10" t="s">
        <v>96</v>
      </c>
      <c r="D77" s="11" t="s">
        <v>20</v>
      </c>
      <c r="E77" s="12">
        <v>72</v>
      </c>
      <c r="F77" s="13">
        <f t="shared" si="6"/>
        <v>43.2</v>
      </c>
      <c r="G77" s="13">
        <v>66.67</v>
      </c>
      <c r="H77" s="13">
        <f t="shared" si="7"/>
        <v>26.667999999999999</v>
      </c>
      <c r="I77" s="13">
        <f t="shared" si="8"/>
        <v>69.867999999999995</v>
      </c>
      <c r="J77" s="12">
        <v>25</v>
      </c>
      <c r="K77" s="10"/>
    </row>
    <row r="78" spans="1:11" s="2" customFormat="1" ht="29.1" customHeight="1">
      <c r="A78" s="10">
        <v>76</v>
      </c>
      <c r="B78" s="11" t="str">
        <f>"吴丽怡"</f>
        <v>吴丽怡</v>
      </c>
      <c r="C78" s="10" t="s">
        <v>97</v>
      </c>
      <c r="D78" s="11" t="s">
        <v>20</v>
      </c>
      <c r="E78" s="12">
        <v>73</v>
      </c>
      <c r="F78" s="13">
        <f t="shared" si="6"/>
        <v>43.8</v>
      </c>
      <c r="G78" s="13">
        <v>69.83</v>
      </c>
      <c r="H78" s="13">
        <f t="shared" si="7"/>
        <v>27.931999999999999</v>
      </c>
      <c r="I78" s="13">
        <f t="shared" si="8"/>
        <v>71.731999999999999</v>
      </c>
      <c r="J78" s="12">
        <v>23</v>
      </c>
      <c r="K78" s="10"/>
    </row>
    <row r="79" spans="1:11" s="2" customFormat="1" ht="29.1" customHeight="1">
      <c r="A79" s="10">
        <v>77</v>
      </c>
      <c r="B79" s="11" t="str">
        <f>"许永杏"</f>
        <v>许永杏</v>
      </c>
      <c r="C79" s="10" t="s">
        <v>98</v>
      </c>
      <c r="D79" s="11" t="s">
        <v>20</v>
      </c>
      <c r="E79" s="12">
        <v>75</v>
      </c>
      <c r="F79" s="13">
        <f t="shared" si="6"/>
        <v>45</v>
      </c>
      <c r="G79" s="13">
        <v>68.37</v>
      </c>
      <c r="H79" s="13">
        <f t="shared" si="7"/>
        <v>27.347999999999999</v>
      </c>
      <c r="I79" s="13">
        <f t="shared" si="8"/>
        <v>72.347999999999999</v>
      </c>
      <c r="J79" s="12">
        <v>20</v>
      </c>
      <c r="K79" s="10"/>
    </row>
    <row r="80" spans="1:11" s="2" customFormat="1" ht="29.1" customHeight="1">
      <c r="A80" s="10">
        <v>78</v>
      </c>
      <c r="B80" s="11" t="str">
        <f>"吴小丽"</f>
        <v>吴小丽</v>
      </c>
      <c r="C80" s="10" t="s">
        <v>99</v>
      </c>
      <c r="D80" s="11" t="s">
        <v>20</v>
      </c>
      <c r="E80" s="12">
        <v>71</v>
      </c>
      <c r="F80" s="13">
        <f t="shared" si="6"/>
        <v>42.6</v>
      </c>
      <c r="G80" s="13">
        <v>70.53</v>
      </c>
      <c r="H80" s="13">
        <f t="shared" si="7"/>
        <v>28.212</v>
      </c>
      <c r="I80" s="13">
        <f t="shared" si="8"/>
        <v>70.811999999999998</v>
      </c>
      <c r="J80" s="12">
        <v>24</v>
      </c>
      <c r="K80" s="10"/>
    </row>
    <row r="81" spans="1:11" s="2" customFormat="1" ht="29.1" customHeight="1">
      <c r="A81" s="10">
        <v>79</v>
      </c>
      <c r="B81" s="11" t="str">
        <f>"林冬梅"</f>
        <v>林冬梅</v>
      </c>
      <c r="C81" s="10" t="s">
        <v>100</v>
      </c>
      <c r="D81" s="11" t="s">
        <v>20</v>
      </c>
      <c r="E81" s="12">
        <v>80</v>
      </c>
      <c r="F81" s="13">
        <f t="shared" si="6"/>
        <v>48</v>
      </c>
      <c r="G81" s="13">
        <v>73.2</v>
      </c>
      <c r="H81" s="13">
        <f t="shared" si="7"/>
        <v>29.28</v>
      </c>
      <c r="I81" s="13">
        <f t="shared" si="8"/>
        <v>77.28</v>
      </c>
      <c r="J81" s="12">
        <v>6</v>
      </c>
      <c r="K81" s="10"/>
    </row>
    <row r="82" spans="1:11" s="2" customFormat="1" ht="29.1" customHeight="1">
      <c r="A82" s="10">
        <v>80</v>
      </c>
      <c r="B82" s="11" t="str">
        <f>"许寿娟"</f>
        <v>许寿娟</v>
      </c>
      <c r="C82" s="10" t="s">
        <v>101</v>
      </c>
      <c r="D82" s="11" t="s">
        <v>20</v>
      </c>
      <c r="E82" s="12">
        <v>71</v>
      </c>
      <c r="F82" s="13">
        <f t="shared" si="6"/>
        <v>42.6</v>
      </c>
      <c r="G82" s="13">
        <v>65.7</v>
      </c>
      <c r="H82" s="13">
        <f t="shared" si="7"/>
        <v>26.28</v>
      </c>
      <c r="I82" s="13">
        <f t="shared" si="8"/>
        <v>68.88</v>
      </c>
      <c r="J82" s="12">
        <v>26</v>
      </c>
      <c r="K82" s="10"/>
    </row>
    <row r="83" spans="1:11" s="2" customFormat="1" ht="29.1" customHeight="1">
      <c r="A83" s="10">
        <v>81</v>
      </c>
      <c r="B83" s="11" t="str">
        <f>"陈玉静"</f>
        <v>陈玉静</v>
      </c>
      <c r="C83" s="10" t="s">
        <v>102</v>
      </c>
      <c r="D83" s="11" t="s">
        <v>20</v>
      </c>
      <c r="E83" s="12">
        <v>75</v>
      </c>
      <c r="F83" s="13">
        <f t="shared" si="6"/>
        <v>45</v>
      </c>
      <c r="G83" s="13">
        <v>67.400000000000006</v>
      </c>
      <c r="H83" s="13">
        <f t="shared" si="7"/>
        <v>26.96</v>
      </c>
      <c r="I83" s="13">
        <f t="shared" si="8"/>
        <v>71.959999999999994</v>
      </c>
      <c r="J83" s="12">
        <v>22</v>
      </c>
      <c r="K83" s="10"/>
    </row>
    <row r="84" spans="1:11" s="2" customFormat="1" ht="29.1" customHeight="1">
      <c r="A84" s="10">
        <v>82</v>
      </c>
      <c r="B84" s="11" t="str">
        <f>"王静"</f>
        <v>王静</v>
      </c>
      <c r="C84" s="10" t="s">
        <v>103</v>
      </c>
      <c r="D84" s="11" t="s">
        <v>20</v>
      </c>
      <c r="E84" s="12">
        <v>74</v>
      </c>
      <c r="F84" s="13">
        <f t="shared" si="6"/>
        <v>44.4</v>
      </c>
      <c r="G84" s="13">
        <v>72.7</v>
      </c>
      <c r="H84" s="13">
        <f t="shared" si="7"/>
        <v>29.08</v>
      </c>
      <c r="I84" s="13">
        <f t="shared" si="8"/>
        <v>73.48</v>
      </c>
      <c r="J84" s="12">
        <v>15</v>
      </c>
      <c r="K84" s="10"/>
    </row>
    <row r="85" spans="1:11" s="2" customFormat="1" ht="29.1" customHeight="1">
      <c r="A85" s="10">
        <v>83</v>
      </c>
      <c r="B85" s="11" t="str">
        <f>"符月礼"</f>
        <v>符月礼</v>
      </c>
      <c r="C85" s="10" t="s">
        <v>104</v>
      </c>
      <c r="D85" s="11" t="s">
        <v>20</v>
      </c>
      <c r="E85" s="12">
        <v>72</v>
      </c>
      <c r="F85" s="13">
        <f t="shared" si="6"/>
        <v>43.2</v>
      </c>
      <c r="G85" s="13">
        <v>73.8</v>
      </c>
      <c r="H85" s="13">
        <f t="shared" si="7"/>
        <v>29.52</v>
      </c>
      <c r="I85" s="13">
        <f t="shared" si="8"/>
        <v>72.72</v>
      </c>
      <c r="J85" s="12">
        <v>18</v>
      </c>
      <c r="K85" s="10"/>
    </row>
    <row r="86" spans="1:11" s="2" customFormat="1" ht="29.1" customHeight="1">
      <c r="A86" s="10">
        <v>84</v>
      </c>
      <c r="B86" s="11" t="str">
        <f>"陈金燕"</f>
        <v>陈金燕</v>
      </c>
      <c r="C86" s="10" t="s">
        <v>105</v>
      </c>
      <c r="D86" s="11" t="s">
        <v>20</v>
      </c>
      <c r="E86" s="12">
        <v>74</v>
      </c>
      <c r="F86" s="13">
        <f t="shared" si="6"/>
        <v>44.4</v>
      </c>
      <c r="G86" s="13">
        <v>70.67</v>
      </c>
      <c r="H86" s="13">
        <f t="shared" si="7"/>
        <v>28.268000000000001</v>
      </c>
      <c r="I86" s="13">
        <f t="shared" si="8"/>
        <v>72.668000000000006</v>
      </c>
      <c r="J86" s="12">
        <v>19</v>
      </c>
      <c r="K86" s="10"/>
    </row>
    <row r="87" spans="1:11" s="2" customFormat="1" ht="29.1" customHeight="1">
      <c r="A87" s="10">
        <v>85</v>
      </c>
      <c r="B87" s="11" t="str">
        <f>"胡小慧"</f>
        <v>胡小慧</v>
      </c>
      <c r="C87" s="10" t="s">
        <v>106</v>
      </c>
      <c r="D87" s="11" t="s">
        <v>20</v>
      </c>
      <c r="E87" s="12">
        <v>82</v>
      </c>
      <c r="F87" s="13">
        <f t="shared" si="6"/>
        <v>49.2</v>
      </c>
      <c r="G87" s="13">
        <v>68.83</v>
      </c>
      <c r="H87" s="13">
        <f t="shared" si="7"/>
        <v>27.532</v>
      </c>
      <c r="I87" s="13">
        <f t="shared" si="8"/>
        <v>76.731999999999999</v>
      </c>
      <c r="J87" s="12">
        <v>7</v>
      </c>
      <c r="K87" s="10"/>
    </row>
    <row r="88" spans="1:11" s="2" customFormat="1" ht="29.1" customHeight="1">
      <c r="A88" s="10">
        <v>86</v>
      </c>
      <c r="B88" s="11" t="str">
        <f>"王官柳"</f>
        <v>王官柳</v>
      </c>
      <c r="C88" s="10" t="s">
        <v>107</v>
      </c>
      <c r="D88" s="11" t="s">
        <v>20</v>
      </c>
      <c r="E88" s="12">
        <v>86</v>
      </c>
      <c r="F88" s="13">
        <f t="shared" si="6"/>
        <v>51.6</v>
      </c>
      <c r="G88" s="13">
        <v>68.400000000000006</v>
      </c>
      <c r="H88" s="13">
        <f t="shared" si="7"/>
        <v>27.36</v>
      </c>
      <c r="I88" s="13">
        <f t="shared" si="8"/>
        <v>78.959999999999994</v>
      </c>
      <c r="J88" s="12">
        <v>4</v>
      </c>
      <c r="K88" s="10"/>
    </row>
    <row r="89" spans="1:11" s="2" customFormat="1" ht="29.1" customHeight="1">
      <c r="A89" s="10">
        <v>87</v>
      </c>
      <c r="B89" s="11" t="str">
        <f>"李妮"</f>
        <v>李妮</v>
      </c>
      <c r="C89" s="10" t="s">
        <v>108</v>
      </c>
      <c r="D89" s="11" t="s">
        <v>20</v>
      </c>
      <c r="E89" s="12">
        <v>74</v>
      </c>
      <c r="F89" s="13">
        <f t="shared" si="6"/>
        <v>44.4</v>
      </c>
      <c r="G89" s="13">
        <v>77.33</v>
      </c>
      <c r="H89" s="13">
        <f t="shared" si="7"/>
        <v>30.931999999999999</v>
      </c>
      <c r="I89" s="13">
        <f t="shared" si="8"/>
        <v>75.331999999999994</v>
      </c>
      <c r="J89" s="12">
        <v>12</v>
      </c>
      <c r="K89" s="10"/>
    </row>
    <row r="90" spans="1:11" s="2" customFormat="1" ht="26.25" customHeight="1">
      <c r="A90" s="10">
        <v>88</v>
      </c>
      <c r="B90" s="11" t="str">
        <f>"梁蝶"</f>
        <v>梁蝶</v>
      </c>
      <c r="C90" s="10" t="s">
        <v>109</v>
      </c>
      <c r="D90" s="11" t="s">
        <v>20</v>
      </c>
      <c r="E90" s="12">
        <v>82</v>
      </c>
      <c r="F90" s="13">
        <f t="shared" si="6"/>
        <v>49.2</v>
      </c>
      <c r="G90" s="13">
        <v>79.430000000000007</v>
      </c>
      <c r="H90" s="13">
        <f t="shared" si="7"/>
        <v>31.771999999999998</v>
      </c>
      <c r="I90" s="13">
        <f t="shared" si="8"/>
        <v>80.971999999999994</v>
      </c>
      <c r="J90" s="12">
        <v>1</v>
      </c>
      <c r="K90" s="10"/>
    </row>
    <row r="91" spans="1:11" s="2" customFormat="1" ht="26.25" customHeight="1">
      <c r="A91" s="10">
        <v>89</v>
      </c>
      <c r="B91" s="11" t="str">
        <f>"石海燕"</f>
        <v>石海燕</v>
      </c>
      <c r="C91" s="10" t="s">
        <v>110</v>
      </c>
      <c r="D91" s="11" t="s">
        <v>20</v>
      </c>
      <c r="E91" s="12">
        <v>71</v>
      </c>
      <c r="F91" s="13">
        <f t="shared" si="6"/>
        <v>42.6</v>
      </c>
      <c r="G91" s="13">
        <v>75.83</v>
      </c>
      <c r="H91" s="13">
        <f t="shared" si="7"/>
        <v>30.332000000000001</v>
      </c>
      <c r="I91" s="13">
        <f t="shared" si="8"/>
        <v>72.932000000000002</v>
      </c>
      <c r="J91" s="12">
        <v>16</v>
      </c>
      <c r="K91" s="10"/>
    </row>
    <row r="92" spans="1:11" s="2" customFormat="1" ht="26.25" customHeight="1">
      <c r="A92" s="10">
        <v>90</v>
      </c>
      <c r="B92" s="11" t="str">
        <f>"李小蕊"</f>
        <v>李小蕊</v>
      </c>
      <c r="C92" s="10" t="s">
        <v>111</v>
      </c>
      <c r="D92" s="11" t="s">
        <v>20</v>
      </c>
      <c r="E92" s="12">
        <v>71</v>
      </c>
      <c r="F92" s="13">
        <f t="shared" si="6"/>
        <v>42.6</v>
      </c>
      <c r="G92" s="13">
        <v>75.67</v>
      </c>
      <c r="H92" s="13">
        <f t="shared" si="7"/>
        <v>30.268000000000001</v>
      </c>
      <c r="I92" s="13">
        <f t="shared" si="8"/>
        <v>72.867999999999995</v>
      </c>
      <c r="J92" s="12">
        <v>17</v>
      </c>
      <c r="K92" s="10"/>
    </row>
    <row r="93" spans="1:11" s="2" customFormat="1" ht="26.25" customHeight="1">
      <c r="A93" s="10">
        <v>91</v>
      </c>
      <c r="B93" s="11" t="str">
        <f>"王俊卜"</f>
        <v>王俊卜</v>
      </c>
      <c r="C93" s="10" t="s">
        <v>112</v>
      </c>
      <c r="D93" s="11" t="s">
        <v>20</v>
      </c>
      <c r="E93" s="12">
        <v>72</v>
      </c>
      <c r="F93" s="13">
        <f t="shared" si="6"/>
        <v>43.2</v>
      </c>
      <c r="G93" s="13">
        <v>80.569999999999993</v>
      </c>
      <c r="H93" s="13">
        <f t="shared" si="7"/>
        <v>32.228000000000002</v>
      </c>
      <c r="I93" s="13">
        <f t="shared" si="8"/>
        <v>75.427999999999997</v>
      </c>
      <c r="J93" s="12">
        <v>10</v>
      </c>
      <c r="K93" s="10"/>
    </row>
    <row r="94" spans="1:11" s="2" customFormat="1" ht="26.25" customHeight="1">
      <c r="A94" s="10">
        <v>92</v>
      </c>
      <c r="B94" s="11" t="str">
        <f>"马晓翠"</f>
        <v>马晓翠</v>
      </c>
      <c r="C94" s="10" t="s">
        <v>113</v>
      </c>
      <c r="D94" s="11" t="s">
        <v>20</v>
      </c>
      <c r="E94" s="12">
        <v>78</v>
      </c>
      <c r="F94" s="13">
        <f t="shared" si="6"/>
        <v>46.8</v>
      </c>
      <c r="G94" s="13">
        <v>82.2</v>
      </c>
      <c r="H94" s="13">
        <f t="shared" si="7"/>
        <v>32.880000000000003</v>
      </c>
      <c r="I94" s="13">
        <f t="shared" si="8"/>
        <v>79.680000000000007</v>
      </c>
      <c r="J94" s="12">
        <v>2</v>
      </c>
      <c r="K94" s="10"/>
    </row>
    <row r="95" spans="1:11" s="2" customFormat="1" ht="26.25" customHeight="1">
      <c r="A95" s="10">
        <v>93</v>
      </c>
      <c r="B95" s="11" t="str">
        <f>"李群"</f>
        <v>李群</v>
      </c>
      <c r="C95" s="10" t="s">
        <v>114</v>
      </c>
      <c r="D95" s="11" t="s">
        <v>20</v>
      </c>
      <c r="E95" s="12">
        <v>76</v>
      </c>
      <c r="F95" s="13">
        <f t="shared" si="6"/>
        <v>45.6</v>
      </c>
      <c r="G95" s="13">
        <v>74.569999999999993</v>
      </c>
      <c r="H95" s="13">
        <f t="shared" si="7"/>
        <v>29.827999999999999</v>
      </c>
      <c r="I95" s="13">
        <f t="shared" si="8"/>
        <v>75.427999999999997</v>
      </c>
      <c r="J95" s="12">
        <v>10</v>
      </c>
      <c r="K95" s="10"/>
    </row>
    <row r="96" spans="1:11" s="2" customFormat="1" ht="26.25" customHeight="1">
      <c r="A96" s="10">
        <v>94</v>
      </c>
      <c r="B96" s="11" t="str">
        <f>"周晔烨"</f>
        <v>周晔烨</v>
      </c>
      <c r="C96" s="10" t="s">
        <v>115</v>
      </c>
      <c r="D96" s="11" t="s">
        <v>20</v>
      </c>
      <c r="E96" s="12">
        <v>77</v>
      </c>
      <c r="F96" s="13">
        <f t="shared" si="6"/>
        <v>46.2</v>
      </c>
      <c r="G96" s="13">
        <v>82.87</v>
      </c>
      <c r="H96" s="13">
        <f t="shared" si="7"/>
        <v>33.148000000000003</v>
      </c>
      <c r="I96" s="13">
        <f t="shared" si="8"/>
        <v>79.347999999999999</v>
      </c>
      <c r="J96" s="12">
        <v>3</v>
      </c>
      <c r="K96" s="10"/>
    </row>
  </sheetData>
  <sheetProtection password="EC4F" sheet="1" objects="1"/>
  <sortState ref="A3:K96">
    <sortCondition ref="C3:C96"/>
  </sortState>
  <mergeCells count="1">
    <mergeCell ref="A1:K1"/>
  </mergeCells>
  <phoneticPr fontId="4" type="noConversion"/>
  <printOptions horizontalCentered="1"/>
  <pageMargins left="0.16041666666666701" right="0.16041666666666701" top="0.40902777777777799" bottom="0.409027777777777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2020-06-02T09:29:00Z</cp:lastPrinted>
  <dcterms:created xsi:type="dcterms:W3CDTF">2020-05-18T01:04:00Z</dcterms:created>
  <dcterms:modified xsi:type="dcterms:W3CDTF">2020-06-09T03:07:39Z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